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CE9C" lockStructure="1"/>
  <bookViews>
    <workbookView xWindow="13065" yWindow="60" windowWidth="14865" windowHeight="12675" tabRatio="804" firstSheet="2" activeTab="3"/>
  </bookViews>
  <sheets>
    <sheet name="Language" sheetId="24" state="hidden" r:id="rId1"/>
    <sheet name="Countries and Timezone" sheetId="23" state="hidden" r:id="rId2"/>
    <sheet name="Custom Language and Timezone" sheetId="21" r:id="rId3"/>
    <sheet name="Tournament" sheetId="1" r:id="rId4"/>
    <sheet name="About" sheetId="16" r:id="rId5"/>
    <sheet name="EULA" sheetId="20" r:id="rId6"/>
    <sheet name="Dummy Table" sheetId="2" state="hidden" r:id="rId7"/>
  </sheets>
  <definedNames>
    <definedName name="Cities">'Countries and Timezone'!$J$2:$J$144</definedName>
    <definedName name="Countries">Language!$C$1:$AW$1</definedName>
    <definedName name="Country">'Custom Language and Timezone'!$C$9:$C$32</definedName>
    <definedName name="_xlnm.Print_Area" localSheetId="3">Tournament!$B$1:$AR$101</definedName>
    <definedName name="Flag1">INDIRECT('Countries and Timezone'!$E$7)</definedName>
    <definedName name="Flag10">INDIRECT('Countries and Timezone'!$E$16)</definedName>
    <definedName name="Flag11">INDIRECT('Countries and Timezone'!$E$17)</definedName>
    <definedName name="Flag12">INDIRECT('Countries and Timezone'!$E$18)</definedName>
    <definedName name="Flag13">INDIRECT('Countries and Timezone'!$E$19)</definedName>
    <definedName name="Flag14">INDIRECT('Countries and Timezone'!$E$20)</definedName>
    <definedName name="Flag15">INDIRECT('Countries and Timezone'!$E$21)</definedName>
    <definedName name="Flag16">INDIRECT('Countries and Timezone'!$E$22)</definedName>
    <definedName name="Flag17">INDIRECT('Countries and Timezone'!$E$23)</definedName>
    <definedName name="Flag18">INDIRECT('Countries and Timezone'!$E$24)</definedName>
    <definedName name="Flag19">INDIRECT('Countries and Timezone'!$E$25)</definedName>
    <definedName name="Flag2">INDIRECT('Countries and Timezone'!$E$8)</definedName>
    <definedName name="Flag20">INDIRECT('Countries and Timezone'!$E$26)</definedName>
    <definedName name="Flag21">INDIRECT('Countries and Timezone'!$E$27)</definedName>
    <definedName name="Flag22">INDIRECT('Countries and Timezone'!$E$28)</definedName>
    <definedName name="Flag23">INDIRECT('Countries and Timezone'!$E$29)</definedName>
    <definedName name="Flag24">INDIRECT('Countries and Timezone'!$E$30)</definedName>
    <definedName name="Flag25">INDIRECT('Countries and Timezone'!$E$40)</definedName>
    <definedName name="Flag26">INDIRECT('Countries and Timezone'!$E$41)</definedName>
    <definedName name="Flag27">INDIRECT('Countries and Timezone'!$E$42)</definedName>
    <definedName name="Flag28">INDIRECT('Countries and Timezone'!$E$43)</definedName>
    <definedName name="Flag29">INDIRECT('Countries and Timezone'!$E$44)</definedName>
    <definedName name="Flag3">INDIRECT('Countries and Timezone'!$E$9)</definedName>
    <definedName name="Flag30">INDIRECT('Countries and Timezone'!$E$45)</definedName>
    <definedName name="Flag31">INDIRECT('Countries and Timezone'!$E$46)</definedName>
    <definedName name="Flag32">INDIRECT('Countries and Timezone'!$E$47)</definedName>
    <definedName name="Flag33">INDIRECT('Countries and Timezone'!$E$48)</definedName>
    <definedName name="Flag34">INDIRECT('Countries and Timezone'!$E$49)</definedName>
    <definedName name="Flag35">INDIRECT('Countries and Timezone'!$E$50)</definedName>
    <definedName name="Flag36">INDIRECT('Countries and Timezone'!$E$51)</definedName>
    <definedName name="Flag37">INDIRECT('Countries and Timezone'!$E$52)</definedName>
    <definedName name="Flag38">INDIRECT('Countries and Timezone'!$E$53)</definedName>
    <definedName name="Flag39">INDIRECT('Countries and Timezone'!$E$54)</definedName>
    <definedName name="Flag4">INDIRECT('Countries and Timezone'!$E$10)</definedName>
    <definedName name="Flag40">INDIRECT('Countries and Timezone'!$E$55)</definedName>
    <definedName name="Flag41">INDIRECT('Countries and Timezone'!$E$56)</definedName>
    <definedName name="Flag42">INDIRECT('Countries and Timezone'!$E$57)</definedName>
    <definedName name="Flag43">INDIRECT('Countries and Timezone'!$E$58)</definedName>
    <definedName name="Flag44">INDIRECT('Countries and Timezone'!$E$59)</definedName>
    <definedName name="Flag45">INDIRECT('Countries and Timezone'!$E$60)</definedName>
    <definedName name="Flag46">INDIRECT('Countries and Timezone'!$E$61)</definedName>
    <definedName name="Flag47">INDIRECT('Countries and Timezone'!$E$62)</definedName>
    <definedName name="Flag48">INDIRECT('Countries and Timezone'!$E$63)</definedName>
    <definedName name="Flag49">INDIRECT('Countries and Timezone'!$E$64)</definedName>
    <definedName name="Flag5">INDIRECT('Countries and Timezone'!$E$11)</definedName>
    <definedName name="Flag50">INDIRECT('Countries and Timezone'!$E$65)</definedName>
    <definedName name="Flag51">INDIRECT('Countries and Timezone'!$E$66)</definedName>
    <definedName name="Flag52">INDIRECT('Countries and Timezone'!$E$67)</definedName>
    <definedName name="Flag53">INDIRECT('Countries and Timezone'!$E$68)</definedName>
    <definedName name="Flag54">INDIRECT('Countries and Timezone'!$E$69)</definedName>
    <definedName name="Flag55">INDIRECT('Countries and Timezone'!$E$70)</definedName>
    <definedName name="Flag56">INDIRECT('Countries and Timezone'!$E$71)</definedName>
    <definedName name="Flag57">INDIRECT('Countries and Timezone'!$E$72)</definedName>
    <definedName name="Flag58">INDIRECT('Countries and Timezone'!$E$73)</definedName>
    <definedName name="Flag6">INDIRECT('Countries and Timezone'!$E$12)</definedName>
    <definedName name="Flag7">INDIRECT('Countries and Timezone'!$E$13)</definedName>
    <definedName name="Flag8">INDIRECT('Countries and Timezone'!$E$14)</definedName>
    <definedName name="Flag9">INDIRECT('Countries and Timezone'!$E$15)</definedName>
    <definedName name="GroupA">'Countries and Timezone'!$AE$6</definedName>
    <definedName name="GroupB">'Countries and Timezone'!$AE$12</definedName>
    <definedName name="GroupC">'Countries and Timezone'!$AE$18</definedName>
    <definedName name="GroupD">'Countries and Timezone'!$AE$24</definedName>
    <definedName name="GroupE">'Countries and Timezone'!$AE$30</definedName>
    <definedName name="GroupF">'Countries and Timezone'!$AE$36</definedName>
    <definedName name="GroupG">'Countries and Timezone'!$AE$42</definedName>
    <definedName name="GroupH">'Countries and Timezone'!$AE$48</definedName>
    <definedName name="Location">'Countries and Timezone'!$V$2:$V$13</definedName>
    <definedName name="PoolTeam">'Dummy Table'!$B$50:$B$75</definedName>
    <definedName name="Team">'Countries and Timezone'!$C$7:$C$38</definedName>
    <definedName name="Venues">'Dummy Table'!$C$50:$C$59</definedName>
  </definedNames>
  <calcPr calcId="145621"/>
</workbook>
</file>

<file path=xl/calcChain.xml><?xml version="1.0" encoding="utf-8"?>
<calcChain xmlns="http://schemas.openxmlformats.org/spreadsheetml/2006/main">
  <c r="DB28" i="2" l="1"/>
  <c r="AW98" i="24" l="1"/>
  <c r="AW97" i="24"/>
  <c r="AW96" i="24"/>
  <c r="AW95" i="24"/>
  <c r="AW94" i="24"/>
  <c r="AW93" i="24"/>
  <c r="AW92" i="24"/>
  <c r="AW91" i="24"/>
  <c r="AW90" i="24"/>
  <c r="AW89" i="24"/>
  <c r="AW88" i="24"/>
  <c r="AW87" i="24"/>
  <c r="AW86" i="24"/>
  <c r="AW85" i="24"/>
  <c r="AW84" i="24"/>
  <c r="AW83" i="24"/>
  <c r="AW82" i="24"/>
  <c r="AW81" i="24"/>
  <c r="AW80" i="24"/>
  <c r="AW79" i="24"/>
  <c r="AW78" i="24"/>
  <c r="AW77" i="24"/>
  <c r="AW76" i="24"/>
  <c r="AW75" i="24"/>
  <c r="AW74" i="24"/>
  <c r="AW73" i="24"/>
  <c r="AW72" i="24"/>
  <c r="AW71" i="24"/>
  <c r="AW70" i="24"/>
  <c r="AW69" i="24"/>
  <c r="AW68" i="24"/>
  <c r="AW67" i="24"/>
  <c r="AW66" i="24"/>
  <c r="AW65" i="24"/>
  <c r="AW64" i="24"/>
  <c r="AW63" i="24"/>
  <c r="AW62" i="24"/>
  <c r="AW61" i="24"/>
  <c r="AW60" i="24"/>
  <c r="AW59" i="24"/>
  <c r="AW58" i="24"/>
  <c r="AW57" i="24"/>
  <c r="AW56" i="24"/>
  <c r="AW55" i="24"/>
  <c r="AW54" i="24"/>
  <c r="AW53" i="24"/>
  <c r="AW52" i="24"/>
  <c r="AW51" i="24"/>
  <c r="AW50" i="24"/>
  <c r="AW49" i="24"/>
  <c r="AW48" i="24"/>
  <c r="AW47" i="24"/>
  <c r="AW46" i="24"/>
  <c r="AW45" i="24"/>
  <c r="AW44" i="24"/>
  <c r="AW43" i="24"/>
  <c r="AW42" i="24"/>
  <c r="AW41" i="24"/>
  <c r="AW40" i="24"/>
  <c r="AW39" i="24"/>
  <c r="AW38" i="24"/>
  <c r="AW37" i="24"/>
  <c r="AW36" i="24"/>
  <c r="AW35" i="24"/>
  <c r="AW34" i="24"/>
  <c r="AW33" i="24"/>
  <c r="AW32" i="24"/>
  <c r="AW31" i="24"/>
  <c r="AW30" i="24"/>
  <c r="AW29" i="24"/>
  <c r="AW28" i="24"/>
  <c r="AW27" i="24"/>
  <c r="AW1" i="24"/>
  <c r="L2" i="23"/>
  <c r="K2" i="23"/>
  <c r="J2" i="23"/>
  <c r="C51" i="1" l="1"/>
  <c r="AD43" i="1"/>
  <c r="AC42" i="1"/>
  <c r="N48" i="1"/>
  <c r="N47" i="1"/>
  <c r="N46" i="1"/>
  <c r="N45" i="1"/>
  <c r="N44" i="1"/>
  <c r="N43" i="1"/>
  <c r="N42" i="1"/>
  <c r="N41" i="1"/>
  <c r="N40" i="1"/>
  <c r="N39" i="1"/>
  <c r="N38" i="1"/>
  <c r="N37" i="1"/>
  <c r="N36" i="1"/>
  <c r="N35" i="1"/>
  <c r="N34" i="1"/>
  <c r="N33" i="1"/>
  <c r="N32" i="1"/>
  <c r="N31" i="1"/>
  <c r="N30" i="1"/>
  <c r="N29" i="1"/>
  <c r="N28" i="1"/>
  <c r="N27" i="1"/>
  <c r="N26" i="1"/>
  <c r="N25" i="1"/>
  <c r="N24" i="1"/>
  <c r="C28" i="23" s="1"/>
  <c r="B38" i="2" s="1"/>
  <c r="N23" i="1"/>
  <c r="C30" i="23" s="1"/>
  <c r="B40" i="2" s="1"/>
  <c r="N22" i="1"/>
  <c r="C24" i="23" s="1"/>
  <c r="B32" i="2" s="1"/>
  <c r="N21" i="1"/>
  <c r="C26" i="23" s="1"/>
  <c r="B34" i="2" s="1"/>
  <c r="N20" i="1"/>
  <c r="C20" i="23" s="1"/>
  <c r="B26" i="2" s="1"/>
  <c r="N19" i="1"/>
  <c r="C16" i="23" s="1"/>
  <c r="B19" i="2" s="1"/>
  <c r="N18" i="1"/>
  <c r="C18" i="23" s="1"/>
  <c r="B21" i="2" s="1"/>
  <c r="N17" i="1"/>
  <c r="C22" i="23" s="1"/>
  <c r="B28" i="2" s="1"/>
  <c r="N16" i="1"/>
  <c r="C12" i="23" s="1"/>
  <c r="B12" i="2" s="1"/>
  <c r="N15" i="1"/>
  <c r="C14" i="23" s="1"/>
  <c r="B14" i="2" s="1"/>
  <c r="N14" i="1"/>
  <c r="C10" i="23" s="1"/>
  <c r="B7" i="2" s="1"/>
  <c r="N13" i="1"/>
  <c r="C8" i="23" s="1"/>
  <c r="B5" i="2" s="1"/>
  <c r="H48" i="1"/>
  <c r="H47" i="1"/>
  <c r="H46" i="1"/>
  <c r="H45" i="1"/>
  <c r="H44" i="1"/>
  <c r="H43" i="1"/>
  <c r="H42" i="1"/>
  <c r="H41" i="1"/>
  <c r="H40" i="1"/>
  <c r="H39" i="1"/>
  <c r="H38" i="1"/>
  <c r="H37" i="1"/>
  <c r="H36" i="1"/>
  <c r="H35" i="1"/>
  <c r="H34" i="1"/>
  <c r="H33" i="1"/>
  <c r="H32" i="1"/>
  <c r="H31" i="1"/>
  <c r="H30" i="1"/>
  <c r="H29" i="1"/>
  <c r="H28" i="1"/>
  <c r="H27" i="1"/>
  <c r="H26" i="1"/>
  <c r="H25" i="1"/>
  <c r="H24" i="1"/>
  <c r="C27" i="23" s="1"/>
  <c r="B37" i="2" s="1"/>
  <c r="H23" i="1"/>
  <c r="C29" i="23" s="1"/>
  <c r="B39" i="2" s="1"/>
  <c r="H22" i="1"/>
  <c r="C23" i="23" s="1"/>
  <c r="B31" i="2" s="1"/>
  <c r="H21" i="1"/>
  <c r="C25" i="23" s="1"/>
  <c r="B33" i="2" s="1"/>
  <c r="H20" i="1"/>
  <c r="C19" i="23" s="1"/>
  <c r="B25" i="2" s="1"/>
  <c r="H19" i="1"/>
  <c r="C15" i="23" s="1"/>
  <c r="B18" i="2" s="1"/>
  <c r="H18" i="1"/>
  <c r="C17" i="23" s="1"/>
  <c r="B20" i="2" s="1"/>
  <c r="H17" i="1"/>
  <c r="C21" i="23" s="1"/>
  <c r="B27" i="2" s="1"/>
  <c r="H16" i="1"/>
  <c r="C11" i="23" s="1"/>
  <c r="B11" i="2" s="1"/>
  <c r="H15" i="1"/>
  <c r="C13" i="23" s="1"/>
  <c r="B13" i="2" s="1"/>
  <c r="H14" i="1"/>
  <c r="C9" i="23" s="1"/>
  <c r="B6" i="2" s="1"/>
  <c r="H13" i="1"/>
  <c r="C7" i="23" s="1"/>
  <c r="B4" i="2" s="1"/>
  <c r="K1" i="1"/>
  <c r="P3" i="1"/>
  <c r="J5" i="1"/>
  <c r="J3" i="1"/>
  <c r="C5" i="1"/>
  <c r="C3" i="1"/>
  <c r="B7" i="1"/>
  <c r="C9" i="1"/>
  <c r="AC11" i="1" l="1"/>
  <c r="AC16" i="1"/>
  <c r="AC21" i="1"/>
  <c r="AC26" i="1"/>
  <c r="AB72" i="1"/>
  <c r="AB88" i="1" l="1"/>
  <c r="R51" i="1"/>
  <c r="M51" i="1"/>
  <c r="G51" i="1"/>
  <c r="AC3" i="1"/>
  <c r="AC36" i="1"/>
  <c r="AC31" i="1"/>
  <c r="AC9" i="1"/>
  <c r="R11" i="1"/>
  <c r="J11" i="1"/>
  <c r="N11" i="1"/>
  <c r="H11" i="1"/>
  <c r="G11" i="1"/>
  <c r="F11" i="1"/>
  <c r="E11" i="1"/>
  <c r="D11" i="1"/>
  <c r="N2" i="23" l="1"/>
  <c r="M2" i="23"/>
  <c r="R50" i="23" l="1"/>
  <c r="S62" i="1" s="1"/>
  <c r="AE48" i="23"/>
  <c r="AE42" i="23"/>
  <c r="AE36" i="23"/>
  <c r="AE30" i="23"/>
  <c r="AE24" i="23"/>
  <c r="AE18" i="23"/>
  <c r="AE12" i="23"/>
  <c r="AE6" i="23"/>
  <c r="R52" i="23"/>
  <c r="AC74" i="1" s="1"/>
  <c r="H140" i="23"/>
  <c r="H139" i="23"/>
  <c r="H138" i="23"/>
  <c r="H137" i="23"/>
  <c r="H136" i="23"/>
  <c r="H135" i="23"/>
  <c r="H134" i="23"/>
  <c r="H133" i="23"/>
  <c r="H132" i="23"/>
  <c r="H131" i="23"/>
  <c r="H130" i="23"/>
  <c r="H129" i="23"/>
  <c r="H128" i="23"/>
  <c r="H127" i="23"/>
  <c r="H126" i="23"/>
  <c r="H125" i="23"/>
  <c r="H124" i="23"/>
  <c r="H123" i="23"/>
  <c r="H122" i="23"/>
  <c r="H121" i="23"/>
  <c r="H120" i="23"/>
  <c r="H119" i="23"/>
  <c r="H118" i="23"/>
  <c r="H117" i="23"/>
  <c r="H116" i="23"/>
  <c r="H115" i="23"/>
  <c r="H114" i="23"/>
  <c r="H113" i="23"/>
  <c r="H112" i="23"/>
  <c r="H111" i="23"/>
  <c r="H110" i="23"/>
  <c r="H109" i="23"/>
  <c r="H108" i="23"/>
  <c r="H107" i="23"/>
  <c r="H106" i="23"/>
  <c r="H105" i="23"/>
  <c r="H104" i="23"/>
  <c r="H103" i="23"/>
  <c r="H102" i="23"/>
  <c r="H101" i="23"/>
  <c r="H100" i="23"/>
  <c r="H99" i="23"/>
  <c r="H98" i="23"/>
  <c r="H97" i="23"/>
  <c r="H96" i="23"/>
  <c r="H95" i="23"/>
  <c r="H94" i="23"/>
  <c r="H93" i="23"/>
  <c r="H92" i="23"/>
  <c r="H91" i="23"/>
  <c r="H90" i="23"/>
  <c r="H89" i="23"/>
  <c r="H88" i="23"/>
  <c r="H87" i="23"/>
  <c r="H86" i="23"/>
  <c r="H85" i="23"/>
  <c r="H84" i="23"/>
  <c r="H83" i="23"/>
  <c r="H82" i="23"/>
  <c r="H81" i="23"/>
  <c r="H80" i="23"/>
  <c r="H79" i="23"/>
  <c r="H78" i="23"/>
  <c r="H77" i="23"/>
  <c r="H76" i="23"/>
  <c r="H75" i="23"/>
  <c r="H74" i="23"/>
  <c r="H73" i="23"/>
  <c r="H72" i="23"/>
  <c r="H71" i="23"/>
  <c r="H70" i="23"/>
  <c r="H69" i="23"/>
  <c r="H68" i="23"/>
  <c r="H67" i="23"/>
  <c r="H66" i="23"/>
  <c r="P65" i="23"/>
  <c r="H65" i="23"/>
  <c r="P64" i="23"/>
  <c r="H64" i="23"/>
  <c r="P63" i="23"/>
  <c r="H63" i="23"/>
  <c r="P62" i="23"/>
  <c r="H62" i="23"/>
  <c r="P61" i="23"/>
  <c r="H61" i="23"/>
  <c r="P60" i="23"/>
  <c r="H60" i="23"/>
  <c r="P59" i="23"/>
  <c r="H59" i="23"/>
  <c r="P58" i="23"/>
  <c r="H58" i="23"/>
  <c r="P57" i="23"/>
  <c r="H57" i="23"/>
  <c r="P56" i="23"/>
  <c r="H56" i="23"/>
  <c r="P55" i="23"/>
  <c r="H55" i="23"/>
  <c r="P54" i="23"/>
  <c r="H54" i="23"/>
  <c r="P53" i="23"/>
  <c r="H53" i="23"/>
  <c r="P52" i="23"/>
  <c r="H52" i="23"/>
  <c r="P51" i="23"/>
  <c r="H51" i="23"/>
  <c r="P50" i="23"/>
  <c r="H50" i="23"/>
  <c r="P49" i="23"/>
  <c r="H49" i="23"/>
  <c r="P48" i="23"/>
  <c r="H48" i="23"/>
  <c r="P47" i="23"/>
  <c r="H47" i="23"/>
  <c r="P46" i="23"/>
  <c r="H46" i="23"/>
  <c r="P45" i="23"/>
  <c r="H45" i="23"/>
  <c r="P44" i="23"/>
  <c r="H44" i="23"/>
  <c r="P43" i="23"/>
  <c r="H43" i="23"/>
  <c r="P42" i="23"/>
  <c r="H42" i="23"/>
  <c r="P41" i="23"/>
  <c r="H41" i="23"/>
  <c r="P40" i="23"/>
  <c r="H40" i="23"/>
  <c r="P39" i="23"/>
  <c r="H39" i="23"/>
  <c r="P38" i="23"/>
  <c r="H38" i="23"/>
  <c r="P37" i="23"/>
  <c r="H37" i="23"/>
  <c r="P36" i="23"/>
  <c r="H36" i="23"/>
  <c r="P35" i="23"/>
  <c r="H35" i="23"/>
  <c r="P34" i="23"/>
  <c r="H34" i="23"/>
  <c r="P33" i="23"/>
  <c r="H33" i="23"/>
  <c r="P32" i="23"/>
  <c r="H32" i="23"/>
  <c r="P31" i="23"/>
  <c r="H31" i="23"/>
  <c r="P30" i="23"/>
  <c r="H30" i="23"/>
  <c r="P29" i="23"/>
  <c r="H29" i="23"/>
  <c r="P28" i="23"/>
  <c r="H28" i="23"/>
  <c r="P27" i="23"/>
  <c r="H27" i="23"/>
  <c r="P26" i="23"/>
  <c r="H26" i="23"/>
  <c r="P25" i="23"/>
  <c r="H25" i="23"/>
  <c r="P24" i="23"/>
  <c r="H24" i="23"/>
  <c r="P23" i="23"/>
  <c r="H23" i="23"/>
  <c r="P22" i="23"/>
  <c r="H22" i="23"/>
  <c r="P21" i="23"/>
  <c r="H21" i="23"/>
  <c r="P20" i="23"/>
  <c r="H20" i="23"/>
  <c r="P19" i="23"/>
  <c r="H19" i="23"/>
  <c r="P18" i="23"/>
  <c r="H18" i="23"/>
  <c r="P17" i="23"/>
  <c r="H17" i="23"/>
  <c r="P16" i="23"/>
  <c r="H16" i="23"/>
  <c r="P15" i="23"/>
  <c r="H15" i="23"/>
  <c r="P14" i="23"/>
  <c r="H14" i="23"/>
  <c r="P13" i="23"/>
  <c r="H13" i="23"/>
  <c r="P12" i="23"/>
  <c r="H12" i="23"/>
  <c r="P11" i="23"/>
  <c r="H11" i="23"/>
  <c r="P10" i="23"/>
  <c r="H10" i="23"/>
  <c r="P9" i="23"/>
  <c r="H9" i="23"/>
  <c r="P8" i="23"/>
  <c r="H8" i="23"/>
  <c r="P7" i="23"/>
  <c r="H7" i="23"/>
  <c r="P6" i="23"/>
  <c r="H6" i="23"/>
  <c r="P5" i="23"/>
  <c r="H5" i="23"/>
  <c r="P4" i="23"/>
  <c r="H4" i="23"/>
  <c r="P3" i="23"/>
  <c r="H3" i="23"/>
  <c r="P2" i="23"/>
  <c r="H2" i="23"/>
  <c r="R16" i="23" l="1"/>
  <c r="G27" i="1" s="1"/>
  <c r="F27" i="1" s="1"/>
  <c r="R23" i="23"/>
  <c r="G34" i="1" s="1"/>
  <c r="F34" i="1" s="1"/>
  <c r="R6" i="23"/>
  <c r="G17" i="1" s="1"/>
  <c r="F17" i="1" s="1"/>
  <c r="R9" i="23"/>
  <c r="G20" i="1" s="1"/>
  <c r="F20" i="1" s="1"/>
  <c r="R45" i="23"/>
  <c r="H95" i="1" s="1"/>
  <c r="R64" i="23"/>
  <c r="R62" i="23"/>
  <c r="R42" i="23"/>
  <c r="R2" i="23"/>
  <c r="G13" i="1" s="1"/>
  <c r="F13" i="1" s="1"/>
  <c r="R30" i="23"/>
  <c r="G41" i="1" s="1"/>
  <c r="F41" i="1" s="1"/>
  <c r="R19" i="23"/>
  <c r="G30" i="1" s="1"/>
  <c r="F30" i="1" s="1"/>
  <c r="R26" i="23"/>
  <c r="G37" i="1" s="1"/>
  <c r="F37" i="1" s="1"/>
  <c r="R33" i="23"/>
  <c r="G44" i="1" s="1"/>
  <c r="F44" i="1" s="1"/>
  <c r="R60" i="23"/>
  <c r="R56" i="23"/>
  <c r="R4" i="23"/>
  <c r="G15" i="1" s="1"/>
  <c r="F15" i="1" s="1"/>
  <c r="R7" i="23"/>
  <c r="G18" i="1" s="1"/>
  <c r="F18" i="1" s="1"/>
  <c r="R18" i="23"/>
  <c r="G29" i="1" s="1"/>
  <c r="F29" i="1" s="1"/>
  <c r="R3" i="23"/>
  <c r="G14" i="1" s="1"/>
  <c r="F14" i="1" s="1"/>
  <c r="R8" i="23"/>
  <c r="G19" i="1" s="1"/>
  <c r="F19" i="1" s="1"/>
  <c r="R12" i="23"/>
  <c r="G23" i="1" s="1"/>
  <c r="F23" i="1" s="1"/>
  <c r="R15" i="23"/>
  <c r="G26" i="1" s="1"/>
  <c r="F26" i="1" s="1"/>
  <c r="R22" i="23"/>
  <c r="G33" i="1" s="1"/>
  <c r="F33" i="1" s="1"/>
  <c r="R25" i="23"/>
  <c r="G36" i="1" s="1"/>
  <c r="F36" i="1" s="1"/>
  <c r="R29" i="23"/>
  <c r="G40" i="1" s="1"/>
  <c r="F40" i="1" s="1"/>
  <c r="R32" i="23"/>
  <c r="G43" i="1" s="1"/>
  <c r="F43" i="1" s="1"/>
  <c r="R36" i="23"/>
  <c r="G47" i="1" s="1"/>
  <c r="F47" i="1" s="1"/>
  <c r="R41" i="23"/>
  <c r="H89" i="1" s="1"/>
  <c r="R44" i="23"/>
  <c r="H83" i="1" s="1"/>
  <c r="R48" i="23"/>
  <c r="N80" i="1" s="1"/>
  <c r="R51" i="23"/>
  <c r="S86" i="1" s="1"/>
  <c r="R55" i="23"/>
  <c r="R59" i="23"/>
  <c r="R63" i="23"/>
  <c r="R5" i="23"/>
  <c r="G16" i="1" s="1"/>
  <c r="F16" i="1" s="1"/>
  <c r="R10" i="23"/>
  <c r="G21" i="1" s="1"/>
  <c r="F21" i="1" s="1"/>
  <c r="R13" i="23"/>
  <c r="G24" i="1" s="1"/>
  <c r="F24" i="1" s="1"/>
  <c r="R17" i="23"/>
  <c r="G28" i="1" s="1"/>
  <c r="F28" i="1" s="1"/>
  <c r="R20" i="23"/>
  <c r="G31" i="1" s="1"/>
  <c r="F31" i="1" s="1"/>
  <c r="R24" i="23"/>
  <c r="G35" i="1" s="1"/>
  <c r="F35" i="1" s="1"/>
  <c r="R27" i="23"/>
  <c r="G38" i="1" s="1"/>
  <c r="F38" i="1" s="1"/>
  <c r="R34" i="23"/>
  <c r="G45" i="1" s="1"/>
  <c r="F45" i="1" s="1"/>
  <c r="R37" i="23"/>
  <c r="G48" i="1" s="1"/>
  <c r="F48" i="1" s="1"/>
  <c r="R39" i="23"/>
  <c r="H65" i="1" s="1"/>
  <c r="R46" i="23"/>
  <c r="N56" i="1" s="1"/>
  <c r="R49" i="23"/>
  <c r="N92" i="1" s="1"/>
  <c r="R53" i="23"/>
  <c r="R57" i="23"/>
  <c r="R61" i="23"/>
  <c r="R65" i="23"/>
  <c r="R11" i="23"/>
  <c r="G22" i="1" s="1"/>
  <c r="F22" i="1" s="1"/>
  <c r="R14" i="23"/>
  <c r="G25" i="1" s="1"/>
  <c r="F25" i="1" s="1"/>
  <c r="R21" i="23"/>
  <c r="G32" i="1" s="1"/>
  <c r="F32" i="1" s="1"/>
  <c r="R28" i="23"/>
  <c r="G39" i="1" s="1"/>
  <c r="F39" i="1" s="1"/>
  <c r="R31" i="23"/>
  <c r="G42" i="1" s="1"/>
  <c r="F42" i="1" s="1"/>
  <c r="R35" i="23"/>
  <c r="G46" i="1" s="1"/>
  <c r="F46" i="1" s="1"/>
  <c r="R38" i="23"/>
  <c r="H53" i="1" s="1"/>
  <c r="R40" i="23"/>
  <c r="H59" i="1" s="1"/>
  <c r="R43" i="23"/>
  <c r="H71" i="1" s="1"/>
  <c r="R47" i="23"/>
  <c r="N68" i="1" s="1"/>
  <c r="R54" i="23"/>
  <c r="R58" i="23"/>
  <c r="E32" i="21" l="1"/>
  <c r="AW26" i="24" s="1"/>
  <c r="E31" i="21"/>
  <c r="AW25" i="24" s="1"/>
  <c r="E30" i="21"/>
  <c r="AW24" i="24" s="1"/>
  <c r="E29" i="21"/>
  <c r="AW23" i="24" s="1"/>
  <c r="E28" i="21"/>
  <c r="AW22" i="24" s="1"/>
  <c r="E27" i="21"/>
  <c r="AW21" i="24" s="1"/>
  <c r="E26" i="21"/>
  <c r="AW20" i="24" s="1"/>
  <c r="E25" i="21"/>
  <c r="AW19" i="24" s="1"/>
  <c r="E24" i="21"/>
  <c r="AW18" i="24" s="1"/>
  <c r="E23" i="21"/>
  <c r="AW17" i="24" s="1"/>
  <c r="E22" i="21"/>
  <c r="AW16" i="24" s="1"/>
  <c r="E21" i="21"/>
  <c r="AW15" i="24" s="1"/>
  <c r="E20" i="21"/>
  <c r="AW14" i="24" s="1"/>
  <c r="E19" i="21"/>
  <c r="AW13" i="24" s="1"/>
  <c r="E18" i="21"/>
  <c r="AW12" i="24" s="1"/>
  <c r="E17" i="21"/>
  <c r="AW11" i="24" s="1"/>
  <c r="E16" i="21"/>
  <c r="AW10" i="24" s="1"/>
  <c r="E15" i="21"/>
  <c r="AW9" i="24" s="1"/>
  <c r="E14" i="21"/>
  <c r="AW8" i="24" s="1"/>
  <c r="E13" i="21"/>
  <c r="AW7" i="24" s="1"/>
  <c r="E12" i="21"/>
  <c r="AW6" i="24" s="1"/>
  <c r="E11" i="21"/>
  <c r="AW5" i="24" s="1"/>
  <c r="E10" i="21"/>
  <c r="AW4" i="24" s="1"/>
  <c r="E9" i="21"/>
  <c r="AW3" i="24" s="1"/>
  <c r="DA38" i="2" l="1"/>
  <c r="DA36" i="2"/>
  <c r="DA34" i="2"/>
  <c r="DA32" i="2"/>
  <c r="DA30" i="2"/>
  <c r="DA28" i="2"/>
  <c r="DB27" i="2"/>
  <c r="DA26" i="2"/>
  <c r="DA24" i="2"/>
  <c r="DA22" i="2"/>
  <c r="DA20" i="2"/>
  <c r="DA18" i="2"/>
  <c r="DA16" i="2"/>
  <c r="DA14" i="2"/>
  <c r="DA12" i="2"/>
  <c r="DA10" i="2"/>
  <c r="DA8" i="2"/>
  <c r="DA6" i="2"/>
  <c r="DA4" i="2"/>
  <c r="DB13" i="2" l="1"/>
  <c r="DB23" i="2"/>
  <c r="DB31" i="2"/>
  <c r="DB35" i="2"/>
  <c r="DB9" i="2"/>
  <c r="DB17" i="2"/>
  <c r="DB21" i="2"/>
  <c r="DB25" i="2"/>
  <c r="DB29" i="2"/>
  <c r="DB33" i="2"/>
  <c r="DB37" i="2"/>
  <c r="DB4" i="2"/>
  <c r="DB6" i="2"/>
  <c r="DD6" i="2" s="1"/>
  <c r="DB8" i="2"/>
  <c r="DD8" i="2" s="1"/>
  <c r="DB10" i="2"/>
  <c r="DB12" i="2"/>
  <c r="DB14" i="2"/>
  <c r="DD14" i="2" s="1"/>
  <c r="DB16" i="2"/>
  <c r="DD16" i="2" s="1"/>
  <c r="DA3" i="2"/>
  <c r="DA5" i="2"/>
  <c r="DA7" i="2"/>
  <c r="DA9" i="2"/>
  <c r="DA11" i="2"/>
  <c r="DA13" i="2"/>
  <c r="DA15" i="2"/>
  <c r="DA17" i="2"/>
  <c r="DA19" i="2"/>
  <c r="DA21" i="2"/>
  <c r="DA23" i="2"/>
  <c r="DA25" i="2"/>
  <c r="DA27" i="2"/>
  <c r="DA29" i="2"/>
  <c r="DA31" i="2"/>
  <c r="DA33" i="2"/>
  <c r="DA35" i="2"/>
  <c r="DA37" i="2"/>
  <c r="DB7" i="2"/>
  <c r="DB11" i="2"/>
  <c r="DB15" i="2"/>
  <c r="DB19" i="2"/>
  <c r="DB18" i="2"/>
  <c r="DD18" i="2" s="1"/>
  <c r="DB20" i="2"/>
  <c r="DB22" i="2"/>
  <c r="DB24" i="2"/>
  <c r="DB26" i="2"/>
  <c r="DD26" i="2" s="1"/>
  <c r="DB30" i="2"/>
  <c r="DB32" i="2"/>
  <c r="DB34" i="2"/>
  <c r="DD34" i="2" s="1"/>
  <c r="DB36" i="2"/>
  <c r="DB38" i="2"/>
  <c r="DB5" i="2"/>
  <c r="DB3" i="2"/>
  <c r="DD23" i="2" l="1"/>
  <c r="DD31" i="2"/>
  <c r="DD15" i="2"/>
  <c r="DD29" i="2"/>
  <c r="DD37" i="2"/>
  <c r="DD21" i="2"/>
  <c r="DD35" i="2"/>
  <c r="DD4" i="2"/>
  <c r="DD13" i="2"/>
  <c r="DD12" i="2"/>
  <c r="DD5" i="2"/>
  <c r="DD10" i="2"/>
  <c r="DD3" i="2"/>
  <c r="DD27" i="2"/>
  <c r="DD11" i="2"/>
  <c r="DD7" i="2"/>
  <c r="DD33" i="2"/>
  <c r="DD17" i="2"/>
  <c r="DD9" i="2"/>
  <c r="DD24" i="2"/>
  <c r="DD28" i="2"/>
  <c r="DD20" i="2"/>
  <c r="DD36" i="2"/>
  <c r="DD38" i="2"/>
  <c r="DD30" i="2"/>
  <c r="DD22" i="2"/>
  <c r="DD25" i="2"/>
  <c r="DD19" i="2"/>
  <c r="DD32" i="2"/>
  <c r="DC31" i="2" l="1"/>
  <c r="DC19" i="2"/>
  <c r="CZ26" i="2"/>
  <c r="DC24" i="2"/>
  <c r="DC32" i="2"/>
  <c r="CZ38" i="2"/>
  <c r="CZ20" i="2"/>
  <c r="CZ27" i="2"/>
  <c r="CZ31" i="2"/>
  <c r="DC29" i="2"/>
  <c r="CZ37" i="2"/>
  <c r="CZ36" i="2"/>
  <c r="CZ35" i="2"/>
  <c r="CZ34" i="2"/>
  <c r="CZ33" i="2"/>
  <c r="CZ32" i="2"/>
  <c r="CZ30" i="2"/>
  <c r="CZ29" i="2"/>
  <c r="CZ28" i="2"/>
  <c r="CZ25" i="2"/>
  <c r="CZ24" i="2"/>
  <c r="CZ23" i="2"/>
  <c r="CZ21" i="2"/>
  <c r="CZ19" i="2"/>
  <c r="CZ18" i="2"/>
  <c r="CZ17" i="2"/>
  <c r="CZ16" i="2"/>
  <c r="CZ15" i="2"/>
  <c r="CZ14" i="2"/>
  <c r="CZ13" i="2"/>
  <c r="CZ12" i="2"/>
  <c r="CZ11" i="2"/>
  <c r="CZ9" i="2"/>
  <c r="CZ8" i="2"/>
  <c r="CZ7" i="2"/>
  <c r="CZ6" i="2"/>
  <c r="CZ5" i="2"/>
  <c r="CZ3" i="2"/>
  <c r="DC38" i="2"/>
  <c r="DC36" i="2"/>
  <c r="DC35" i="2"/>
  <c r="DC34" i="2"/>
  <c r="DC30" i="2"/>
  <c r="DC27" i="2"/>
  <c r="DC26" i="2"/>
  <c r="DC25" i="2"/>
  <c r="DC23" i="2"/>
  <c r="DC22" i="2"/>
  <c r="DC20" i="2"/>
  <c r="DC18" i="2"/>
  <c r="DC17" i="2"/>
  <c r="DC16" i="2"/>
  <c r="DC15" i="2"/>
  <c r="DC13" i="2"/>
  <c r="DC11" i="2"/>
  <c r="DC10" i="2"/>
  <c r="DC8" i="2"/>
  <c r="DC7" i="2"/>
  <c r="DC6" i="2"/>
  <c r="DC5" i="2"/>
  <c r="DC4" i="2"/>
  <c r="DC3" i="2"/>
  <c r="DE36" i="2" l="1"/>
  <c r="DE32" i="2"/>
  <c r="DE28" i="2"/>
  <c r="DE24" i="2"/>
  <c r="DE20" i="2"/>
  <c r="DE35" i="2"/>
  <c r="DE27" i="2"/>
  <c r="DE23" i="2"/>
  <c r="DE19" i="2"/>
  <c r="DE14" i="2"/>
  <c r="DE17" i="2"/>
  <c r="DE38" i="2"/>
  <c r="DE30" i="2"/>
  <c r="DE26" i="2"/>
  <c r="DE22" i="2"/>
  <c r="DE18" i="2"/>
  <c r="DE13" i="2"/>
  <c r="DE37" i="2"/>
  <c r="DE33" i="2"/>
  <c r="DE29" i="2"/>
  <c r="DE25" i="2"/>
  <c r="DE21" i="2"/>
  <c r="DC33" i="2"/>
  <c r="CZ22" i="2"/>
  <c r="DC28" i="2"/>
  <c r="DC21" i="2"/>
  <c r="DC37" i="2"/>
  <c r="DC9" i="2"/>
  <c r="DC14" i="2"/>
  <c r="CZ10" i="2"/>
  <c r="DC12" i="2"/>
  <c r="CZ4" i="2"/>
  <c r="G40" i="2" l="1"/>
  <c r="G31" i="2"/>
  <c r="G33" i="2"/>
  <c r="F31" i="2"/>
  <c r="F33" i="2"/>
  <c r="G37" i="2"/>
  <c r="G39" i="2"/>
  <c r="F38" i="2"/>
  <c r="F34" i="2"/>
  <c r="G32" i="2"/>
  <c r="G34" i="2"/>
  <c r="F39" i="2"/>
  <c r="F37" i="2"/>
  <c r="G38" i="2"/>
  <c r="F32" i="2"/>
  <c r="F40" i="2"/>
  <c r="DE8" i="2"/>
  <c r="DE10" i="2"/>
  <c r="DE12" i="2"/>
  <c r="DE5" i="2"/>
  <c r="DE31" i="2"/>
  <c r="DE7" i="2"/>
  <c r="DE16" i="2"/>
  <c r="DE9" i="2"/>
  <c r="DE11" i="2"/>
  <c r="DE34" i="2"/>
  <c r="DE4" i="2"/>
  <c r="DE6" i="2"/>
  <c r="DE15" i="2"/>
  <c r="DE3" i="2"/>
  <c r="G25" i="2"/>
  <c r="G19" i="2"/>
  <c r="F20" i="2"/>
  <c r="F26" i="2"/>
  <c r="F27" i="2"/>
  <c r="G4" i="2"/>
  <c r="G5" i="2"/>
  <c r="F4" i="2"/>
  <c r="G14" i="2"/>
  <c r="F11" i="2"/>
  <c r="G27" i="2"/>
  <c r="G21" i="2"/>
  <c r="F19" i="2"/>
  <c r="F18" i="2"/>
  <c r="G12" i="2"/>
  <c r="F12" i="2"/>
  <c r="F14" i="2"/>
  <c r="F7" i="2"/>
  <c r="G11" i="2"/>
  <c r="G18" i="2"/>
  <c r="F25" i="2"/>
  <c r="F6" i="2"/>
  <c r="F5" i="2"/>
  <c r="G6" i="2"/>
  <c r="G13" i="2"/>
  <c r="F13" i="2"/>
  <c r="F21" i="2"/>
  <c r="G26" i="2"/>
  <c r="G20" i="2"/>
  <c r="G7" i="2"/>
  <c r="F28" i="2"/>
  <c r="G28" i="2"/>
  <c r="H40" i="2" l="1"/>
  <c r="H39" i="2"/>
  <c r="H37" i="2"/>
  <c r="H33" i="2"/>
  <c r="C38" i="2"/>
  <c r="H32" i="2"/>
  <c r="E37" i="2"/>
  <c r="E34" i="2"/>
  <c r="E31" i="2"/>
  <c r="H38" i="2"/>
  <c r="D38" i="2"/>
  <c r="H31" i="2"/>
  <c r="C33" i="2"/>
  <c r="E39" i="2"/>
  <c r="C40" i="2"/>
  <c r="C32" i="2"/>
  <c r="E33" i="2"/>
  <c r="E38" i="2"/>
  <c r="D40" i="2"/>
  <c r="D33" i="2"/>
  <c r="C37" i="2"/>
  <c r="D32" i="2"/>
  <c r="C39" i="2"/>
  <c r="C31" i="2"/>
  <c r="C34" i="2"/>
  <c r="E40" i="2"/>
  <c r="D37" i="2"/>
  <c r="E32" i="2"/>
  <c r="D34" i="2"/>
  <c r="D39" i="2"/>
  <c r="H34" i="2"/>
  <c r="D31" i="2"/>
  <c r="E19" i="2"/>
  <c r="E7" i="2"/>
  <c r="D27" i="2"/>
  <c r="D5" i="2"/>
  <c r="C12" i="2"/>
  <c r="C7" i="2"/>
  <c r="E20" i="2"/>
  <c r="C21" i="2"/>
  <c r="D26" i="2"/>
  <c r="D4" i="2"/>
  <c r="E27" i="2"/>
  <c r="E5" i="2"/>
  <c r="D25" i="2"/>
  <c r="D13" i="2"/>
  <c r="C28" i="2"/>
  <c r="C6" i="2"/>
  <c r="E28" i="2"/>
  <c r="E18" i="2"/>
  <c r="E6" i="2"/>
  <c r="D12" i="2"/>
  <c r="C26" i="2"/>
  <c r="C4" i="2"/>
  <c r="E25" i="2"/>
  <c r="E13" i="2"/>
  <c r="C19" i="2"/>
  <c r="D21" i="2"/>
  <c r="D11" i="2"/>
  <c r="C11" i="2"/>
  <c r="E26" i="2"/>
  <c r="E14" i="2"/>
  <c r="E4" i="2"/>
  <c r="C5" i="2"/>
  <c r="D20" i="2"/>
  <c r="C20" i="2"/>
  <c r="E21" i="2"/>
  <c r="E11" i="2"/>
  <c r="D19" i="2"/>
  <c r="D7" i="2"/>
  <c r="C18" i="2"/>
  <c r="C25" i="2"/>
  <c r="E12" i="2"/>
  <c r="C27" i="2"/>
  <c r="D28" i="2"/>
  <c r="D18" i="2"/>
  <c r="D6" i="2"/>
  <c r="C14" i="2"/>
  <c r="C13" i="2"/>
  <c r="D14" i="2"/>
  <c r="H5" i="2"/>
  <c r="H25" i="2"/>
  <c r="H21" i="2"/>
  <c r="H4" i="2"/>
  <c r="H28" i="2"/>
  <c r="H7" i="2"/>
  <c r="H27" i="2"/>
  <c r="H14" i="2"/>
  <c r="H18" i="2"/>
  <c r="H26" i="2"/>
  <c r="H6" i="2"/>
  <c r="H13" i="2"/>
  <c r="H12" i="2"/>
  <c r="H19" i="2"/>
  <c r="H11" i="2"/>
  <c r="H20" i="2"/>
  <c r="I4" i="2" l="1"/>
  <c r="I26" i="2"/>
  <c r="I27" i="2"/>
  <c r="I13" i="2"/>
  <c r="I5" i="2"/>
  <c r="I25" i="2"/>
  <c r="I11" i="2"/>
  <c r="I19" i="2"/>
  <c r="I12" i="2"/>
  <c r="I34" i="2"/>
  <c r="I37" i="2"/>
  <c r="I33" i="2"/>
  <c r="I38" i="2"/>
  <c r="I21" i="2"/>
  <c r="I31" i="2"/>
  <c r="I32" i="2"/>
  <c r="I18" i="2"/>
  <c r="I28" i="2"/>
  <c r="I39" i="2"/>
  <c r="I40" i="2"/>
  <c r="I14" i="2"/>
  <c r="I20" i="2"/>
  <c r="I7" i="2"/>
  <c r="I6" i="2"/>
  <c r="K28" i="2" l="1"/>
  <c r="M39" i="2"/>
  <c r="M31" i="2"/>
  <c r="M34" i="2"/>
  <c r="M38" i="2"/>
  <c r="M40" i="2"/>
  <c r="M32" i="2"/>
  <c r="M33" i="2"/>
  <c r="M37" i="2"/>
  <c r="K27" i="2"/>
  <c r="K40" i="2"/>
  <c r="K32" i="2"/>
  <c r="M26" i="2"/>
  <c r="K25" i="2"/>
  <c r="M27" i="2"/>
  <c r="K33" i="2"/>
  <c r="M25" i="2"/>
  <c r="K39" i="2"/>
  <c r="K31" i="2"/>
  <c r="K37" i="2"/>
  <c r="K34" i="2"/>
  <c r="K26" i="2"/>
  <c r="K38" i="2"/>
  <c r="M28" i="2"/>
  <c r="M11" i="2"/>
  <c r="S37" i="2"/>
  <c r="S31" i="2"/>
  <c r="K18" i="2"/>
  <c r="M19" i="2"/>
  <c r="K21" i="2"/>
  <c r="K20" i="2"/>
  <c r="K14" i="2"/>
  <c r="M4" i="2"/>
  <c r="K19" i="2"/>
  <c r="K13" i="2"/>
  <c r="K12" i="2"/>
  <c r="M14" i="2"/>
  <c r="K6" i="2"/>
  <c r="K11" i="2"/>
  <c r="M7" i="2"/>
  <c r="K5" i="2"/>
  <c r="M18" i="2"/>
  <c r="K4" i="2"/>
  <c r="K7" i="2"/>
  <c r="M12" i="2"/>
  <c r="M13" i="2"/>
  <c r="M6" i="2"/>
  <c r="M21" i="2"/>
  <c r="M5" i="2"/>
  <c r="M20" i="2"/>
  <c r="N12" i="2" l="1"/>
  <c r="O12" i="2" s="1"/>
  <c r="N32" i="2"/>
  <c r="O32" i="2" s="1"/>
  <c r="N26" i="2"/>
  <c r="O26" i="2" s="1"/>
  <c r="N33" i="2"/>
  <c r="O33" i="2" s="1"/>
  <c r="N34" i="2"/>
  <c r="O34" i="2" s="1"/>
  <c r="N39" i="2"/>
  <c r="O39" i="2" s="1"/>
  <c r="N38" i="2"/>
  <c r="O38" i="2" s="1"/>
  <c r="N40" i="2"/>
  <c r="O40" i="2" s="1"/>
  <c r="N31" i="2"/>
  <c r="O31" i="2" s="1"/>
  <c r="N37" i="2"/>
  <c r="O37" i="2" s="1"/>
  <c r="N25" i="2"/>
  <c r="O25" i="2" s="1"/>
  <c r="N27" i="2"/>
  <c r="O27" i="2" s="1"/>
  <c r="N28" i="2"/>
  <c r="O28" i="2" s="1"/>
  <c r="CC34" i="2"/>
  <c r="S32" i="2"/>
  <c r="CC40" i="2"/>
  <c r="S38" i="2"/>
  <c r="N11" i="2"/>
  <c r="O11" i="2" s="1"/>
  <c r="N13" i="2"/>
  <c r="O13" i="2" s="1"/>
  <c r="N5" i="2"/>
  <c r="N4" i="2"/>
  <c r="O4" i="2" s="1"/>
  <c r="N7" i="2"/>
  <c r="O7" i="2" s="1"/>
  <c r="N6" i="2"/>
  <c r="O6" i="2" s="1"/>
  <c r="N20" i="2"/>
  <c r="O20" i="2" s="1"/>
  <c r="N14" i="2"/>
  <c r="O14" i="2" s="1"/>
  <c r="N19" i="2"/>
  <c r="O19" i="2" s="1"/>
  <c r="N21" i="2"/>
  <c r="O21" i="2" s="1"/>
  <c r="N18" i="2"/>
  <c r="O18" i="2" s="1"/>
  <c r="S25" i="2"/>
  <c r="S26" i="2" s="1"/>
  <c r="Q25" i="2" l="1"/>
  <c r="AO26" i="2" s="1"/>
  <c r="AY26" i="2" s="1"/>
  <c r="R37" i="2"/>
  <c r="BI39" i="2" s="1"/>
  <c r="BR39" i="2" s="1"/>
  <c r="Q11" i="2"/>
  <c r="Q12" i="2" s="1"/>
  <c r="AO13" i="2" s="1"/>
  <c r="R31" i="2"/>
  <c r="BI33" i="2" s="1"/>
  <c r="BQ33" i="2" s="1"/>
  <c r="CH40" i="2"/>
  <c r="CG40" i="2"/>
  <c r="CS40" i="2"/>
  <c r="CO40" i="2"/>
  <c r="CJ40" i="2"/>
  <c r="CN40" i="2" s="1"/>
  <c r="CR40" i="2"/>
  <c r="CM40" i="2"/>
  <c r="CQ40" i="2"/>
  <c r="CL40" i="2"/>
  <c r="CT40" i="2"/>
  <c r="CP40" i="2"/>
  <c r="CK40" i="2"/>
  <c r="Q31" i="2"/>
  <c r="Q32" i="2" s="1"/>
  <c r="AO33" i="2" s="1"/>
  <c r="CR34" i="2"/>
  <c r="CM34" i="2"/>
  <c r="CQ34" i="2"/>
  <c r="CL34" i="2"/>
  <c r="CH34" i="2"/>
  <c r="CT34" i="2"/>
  <c r="CP34" i="2"/>
  <c r="CK34" i="2"/>
  <c r="CG34" i="2"/>
  <c r="CS34" i="2"/>
  <c r="CO34" i="2"/>
  <c r="CJ34" i="2"/>
  <c r="CN34" i="2" s="1"/>
  <c r="R25" i="2"/>
  <c r="BI27" i="2" s="1"/>
  <c r="Q37" i="2"/>
  <c r="Q38" i="2" s="1"/>
  <c r="AO39" i="2" s="1"/>
  <c r="P25" i="2"/>
  <c r="P26" i="2" s="1"/>
  <c r="U26" i="2" s="1"/>
  <c r="R11" i="2"/>
  <c r="BI13" i="2" s="1"/>
  <c r="P31" i="2"/>
  <c r="P32" i="2" s="1"/>
  <c r="CU34" i="2"/>
  <c r="CV34" i="2"/>
  <c r="P37" i="2"/>
  <c r="U37" i="2" s="1"/>
  <c r="CV40" i="2"/>
  <c r="CU40" i="2"/>
  <c r="CD40" i="2"/>
  <c r="CF40" i="2"/>
  <c r="CE40" i="2"/>
  <c r="R4" i="2"/>
  <c r="R5" i="2" s="1"/>
  <c r="R6" i="2" s="1"/>
  <c r="P11" i="2"/>
  <c r="P12" i="2" s="1"/>
  <c r="U12" i="2" s="1"/>
  <c r="S4" i="2"/>
  <c r="S5" i="2" s="1"/>
  <c r="Q18" i="2"/>
  <c r="AO19" i="2" s="1"/>
  <c r="R18" i="2"/>
  <c r="R19" i="2" s="1"/>
  <c r="R20" i="2" s="1"/>
  <c r="P18" i="2"/>
  <c r="P19" i="2" s="1"/>
  <c r="P20" i="2" s="1"/>
  <c r="Q4" i="2"/>
  <c r="Q5" i="2" s="1"/>
  <c r="AO6" i="2" s="1"/>
  <c r="S11" i="2"/>
  <c r="CC14" i="2" s="1"/>
  <c r="O5" i="2"/>
  <c r="P4" i="2" s="1"/>
  <c r="U4" i="2" s="1"/>
  <c r="S18" i="2"/>
  <c r="CC28" i="2"/>
  <c r="Q26" i="2" l="1"/>
  <c r="Q27" i="2" s="1"/>
  <c r="AW26" i="2"/>
  <c r="AX26" i="2"/>
  <c r="BS39" i="2"/>
  <c r="AO12" i="2"/>
  <c r="AW12" i="2" s="1"/>
  <c r="Q13" i="2"/>
  <c r="Q14" i="2" s="1"/>
  <c r="R38" i="2"/>
  <c r="R39" i="2" s="1"/>
  <c r="BS33" i="2"/>
  <c r="BQ39" i="2"/>
  <c r="R32" i="2"/>
  <c r="BI34" i="2" s="1"/>
  <c r="BK33" i="2" s="1"/>
  <c r="BR33" i="2"/>
  <c r="AO32" i="2"/>
  <c r="AW32" i="2" s="1"/>
  <c r="R26" i="2"/>
  <c r="BI28" i="2" s="1"/>
  <c r="BR28" i="2" s="1"/>
  <c r="CI34" i="2"/>
  <c r="Q33" i="2"/>
  <c r="AO34" i="2" s="1"/>
  <c r="U25" i="2"/>
  <c r="AC25" i="2" s="1"/>
  <c r="R12" i="2"/>
  <c r="BI14" i="2" s="1"/>
  <c r="BS14" i="2" s="1"/>
  <c r="AX39" i="2"/>
  <c r="AW39" i="2"/>
  <c r="AY39" i="2"/>
  <c r="Q39" i="2"/>
  <c r="Q40" i="2" s="1"/>
  <c r="AO38" i="2"/>
  <c r="CI40" i="2"/>
  <c r="U31" i="2"/>
  <c r="AC31" i="2" s="1"/>
  <c r="AW33" i="2"/>
  <c r="AY33" i="2"/>
  <c r="AX33" i="2"/>
  <c r="P27" i="2"/>
  <c r="P28" i="2" s="1"/>
  <c r="BR27" i="2"/>
  <c r="BS27" i="2"/>
  <c r="BQ27" i="2"/>
  <c r="CH28" i="2"/>
  <c r="CT28" i="2"/>
  <c r="CP28" i="2"/>
  <c r="CK28" i="2"/>
  <c r="CG28" i="2"/>
  <c r="CS28" i="2"/>
  <c r="CO28" i="2"/>
  <c r="CJ28" i="2"/>
  <c r="CN28" i="2" s="1"/>
  <c r="CR28" i="2"/>
  <c r="CM28" i="2"/>
  <c r="CQ28" i="2"/>
  <c r="CL28" i="2"/>
  <c r="AW19" i="2"/>
  <c r="AY19" i="2"/>
  <c r="AX19" i="2"/>
  <c r="BQ13" i="2"/>
  <c r="BS13" i="2"/>
  <c r="BR13" i="2"/>
  <c r="AX13" i="2"/>
  <c r="AW13" i="2"/>
  <c r="AY13" i="2"/>
  <c r="CH14" i="2"/>
  <c r="CT14" i="2"/>
  <c r="CP14" i="2"/>
  <c r="CK14" i="2"/>
  <c r="CG14" i="2"/>
  <c r="CS14" i="2"/>
  <c r="CO14" i="2"/>
  <c r="CJ14" i="2"/>
  <c r="CN14" i="2" s="1"/>
  <c r="CR14" i="2"/>
  <c r="CM14" i="2"/>
  <c r="CQ14" i="2"/>
  <c r="CL14" i="2"/>
  <c r="AX6" i="2"/>
  <c r="AW6" i="2"/>
  <c r="AY6" i="2"/>
  <c r="AE4" i="2"/>
  <c r="AE26" i="2"/>
  <c r="AD26" i="2"/>
  <c r="AC26" i="2"/>
  <c r="AE12" i="2"/>
  <c r="AD12" i="2"/>
  <c r="AC12" i="2"/>
  <c r="AE37" i="2"/>
  <c r="AD37" i="2"/>
  <c r="AC37" i="2"/>
  <c r="P38" i="2"/>
  <c r="AD4" i="2"/>
  <c r="AC4" i="2"/>
  <c r="P13" i="2"/>
  <c r="P14" i="2" s="1"/>
  <c r="BI20" i="2"/>
  <c r="U11" i="2"/>
  <c r="BI7" i="2"/>
  <c r="BI6" i="2"/>
  <c r="BI21" i="2"/>
  <c r="P33" i="2"/>
  <c r="U32" i="2"/>
  <c r="Q19" i="2"/>
  <c r="AO20" i="2" s="1"/>
  <c r="S12" i="2"/>
  <c r="Q6" i="2"/>
  <c r="Q7" i="2" s="1"/>
  <c r="CC7" i="2"/>
  <c r="U19" i="2"/>
  <c r="AO5" i="2"/>
  <c r="U18" i="2"/>
  <c r="P5" i="2"/>
  <c r="U5" i="2" s="1"/>
  <c r="S19" i="2"/>
  <c r="CC21" i="2"/>
  <c r="CE14" i="2"/>
  <c r="CD14" i="2"/>
  <c r="CF14" i="2"/>
  <c r="U20" i="2"/>
  <c r="P21" i="2"/>
  <c r="AO27" i="2" l="1"/>
  <c r="AX12" i="2"/>
  <c r="AY12" i="2"/>
  <c r="AO14" i="2"/>
  <c r="AT13" i="2" s="1"/>
  <c r="R33" i="2"/>
  <c r="AQ33" i="2"/>
  <c r="R27" i="2"/>
  <c r="BN28" i="2"/>
  <c r="BI40" i="2"/>
  <c r="BL39" i="2" s="1"/>
  <c r="BJ33" i="2"/>
  <c r="BM28" i="2"/>
  <c r="BL34" i="2"/>
  <c r="BK34" i="2"/>
  <c r="BJ34" i="2"/>
  <c r="BL33" i="2"/>
  <c r="Q34" i="2"/>
  <c r="U27" i="2"/>
  <c r="AE27" i="2" s="1"/>
  <c r="BS28" i="2"/>
  <c r="BM27" i="2"/>
  <c r="R13" i="2"/>
  <c r="BN14" i="2"/>
  <c r="BN27" i="2"/>
  <c r="AX32" i="2"/>
  <c r="AQ32" i="2"/>
  <c r="AP32" i="2"/>
  <c r="AR32" i="2"/>
  <c r="AR34" i="2"/>
  <c r="AQ34" i="2"/>
  <c r="AP34" i="2"/>
  <c r="AR33" i="2"/>
  <c r="AP33" i="2"/>
  <c r="AY32" i="2"/>
  <c r="AS32" i="2"/>
  <c r="AD25" i="2"/>
  <c r="AE25" i="2"/>
  <c r="BQ28" i="2"/>
  <c r="AD31" i="2"/>
  <c r="AO40" i="2"/>
  <c r="AP38" i="2" s="1"/>
  <c r="BQ14" i="2"/>
  <c r="BM14" i="2"/>
  <c r="BM13" i="2"/>
  <c r="AE31" i="2"/>
  <c r="BN13" i="2"/>
  <c r="BR14" i="2"/>
  <c r="CI28" i="2"/>
  <c r="CI14" i="2"/>
  <c r="U13" i="2"/>
  <c r="AE13" i="2" s="1"/>
  <c r="AY38" i="2"/>
  <c r="AX38" i="2"/>
  <c r="AW38" i="2"/>
  <c r="AS33" i="2"/>
  <c r="AT32" i="2"/>
  <c r="AT33" i="2"/>
  <c r="AY34" i="2"/>
  <c r="AX34" i="2"/>
  <c r="AT34" i="2"/>
  <c r="AS34" i="2"/>
  <c r="AW34" i="2"/>
  <c r="BN34" i="2"/>
  <c r="BM34" i="2"/>
  <c r="BQ34" i="2"/>
  <c r="BR34" i="2"/>
  <c r="BS34" i="2"/>
  <c r="BN33" i="2"/>
  <c r="BM33" i="2"/>
  <c r="AW27" i="2"/>
  <c r="AY27" i="2"/>
  <c r="AX27" i="2"/>
  <c r="CR21" i="2"/>
  <c r="CM21" i="2"/>
  <c r="CQ21" i="2"/>
  <c r="CL21" i="2"/>
  <c r="CH21" i="2"/>
  <c r="CT21" i="2"/>
  <c r="CP21" i="2"/>
  <c r="CK21" i="2"/>
  <c r="CG21" i="2"/>
  <c r="CS21" i="2"/>
  <c r="CO21" i="2"/>
  <c r="CJ21" i="2"/>
  <c r="CN21" i="2" s="1"/>
  <c r="BN21" i="2"/>
  <c r="BM21" i="2"/>
  <c r="BS21" i="2"/>
  <c r="BQ21" i="2"/>
  <c r="BR21" i="2"/>
  <c r="BN20" i="2"/>
  <c r="BM20" i="2"/>
  <c r="BR20" i="2"/>
  <c r="BS20" i="2"/>
  <c r="BQ20" i="2"/>
  <c r="AX20" i="2"/>
  <c r="AW20" i="2"/>
  <c r="AY20" i="2"/>
  <c r="BR6" i="2"/>
  <c r="BQ6" i="2"/>
  <c r="BN6" i="2"/>
  <c r="BM6" i="2"/>
  <c r="BS6" i="2"/>
  <c r="CS7" i="2"/>
  <c r="CO7" i="2"/>
  <c r="CJ7" i="2"/>
  <c r="CN7" i="2" s="1"/>
  <c r="CR7" i="2"/>
  <c r="CM7" i="2"/>
  <c r="CH7" i="2"/>
  <c r="CU7" i="2"/>
  <c r="CQ7" i="2"/>
  <c r="CL7" i="2"/>
  <c r="CG7" i="2"/>
  <c r="CT7" i="2"/>
  <c r="CP7" i="2"/>
  <c r="CK7" i="2"/>
  <c r="BN7" i="2"/>
  <c r="BQ7" i="2"/>
  <c r="BM7" i="2"/>
  <c r="BS7" i="2"/>
  <c r="BR7" i="2"/>
  <c r="AW5" i="2"/>
  <c r="AY5" i="2"/>
  <c r="AX5" i="2"/>
  <c r="AE5" i="2"/>
  <c r="AE18" i="2"/>
  <c r="AD18" i="2"/>
  <c r="AC18" i="2"/>
  <c r="AE32" i="2"/>
  <c r="AD32" i="2"/>
  <c r="AC32" i="2"/>
  <c r="AE11" i="2"/>
  <c r="AD11" i="2"/>
  <c r="AC11" i="2"/>
  <c r="AE20" i="2"/>
  <c r="AD20" i="2"/>
  <c r="AC20" i="2"/>
  <c r="AC19" i="2"/>
  <c r="AE19" i="2"/>
  <c r="AD19" i="2"/>
  <c r="U38" i="2"/>
  <c r="P39" i="2"/>
  <c r="AD5" i="2"/>
  <c r="AC5" i="2"/>
  <c r="AO7" i="2"/>
  <c r="AR5" i="2" s="1"/>
  <c r="Q20" i="2"/>
  <c r="Q21" i="2" s="1"/>
  <c r="U33" i="2"/>
  <c r="P34" i="2"/>
  <c r="P6" i="2"/>
  <c r="U6" i="2" s="1"/>
  <c r="Q28" i="2"/>
  <c r="AO28" i="2"/>
  <c r="U21" i="2"/>
  <c r="BJ21" i="2"/>
  <c r="BL20" i="2"/>
  <c r="BK20" i="2"/>
  <c r="BJ20" i="2"/>
  <c r="U14" i="2"/>
  <c r="BL21" i="2"/>
  <c r="CE21" i="2"/>
  <c r="CF21" i="2"/>
  <c r="CD21" i="2"/>
  <c r="BK21" i="2"/>
  <c r="U28" i="2"/>
  <c r="CD7" i="2"/>
  <c r="CF7" i="2"/>
  <c r="CE7" i="2"/>
  <c r="AY14" i="2" l="1"/>
  <c r="AQ14" i="2"/>
  <c r="AT12" i="2"/>
  <c r="AP14" i="2"/>
  <c r="AV14" i="2" s="1"/>
  <c r="AZ14" i="2" s="1"/>
  <c r="AT14" i="2"/>
  <c r="AS14" i="2"/>
  <c r="AR12" i="2"/>
  <c r="AQ13" i="2"/>
  <c r="AR13" i="2"/>
  <c r="AP12" i="2"/>
  <c r="AR14" i="2"/>
  <c r="AS12" i="2"/>
  <c r="AX14" i="2"/>
  <c r="AQ12" i="2"/>
  <c r="AS13" i="2"/>
  <c r="AU13" i="2" s="1"/>
  <c r="AP13" i="2"/>
  <c r="AV13" i="2" s="1"/>
  <c r="AZ13" i="2" s="1"/>
  <c r="AW14" i="2"/>
  <c r="AD13" i="2"/>
  <c r="AC27" i="2"/>
  <c r="BS40" i="2"/>
  <c r="AD27" i="2"/>
  <c r="BN40" i="2"/>
  <c r="AC13" i="2"/>
  <c r="BO28" i="2"/>
  <c r="BM39" i="2"/>
  <c r="BQ40" i="2"/>
  <c r="BK39" i="2"/>
  <c r="BN39" i="2"/>
  <c r="BM40" i="2"/>
  <c r="BR40" i="2"/>
  <c r="BJ39" i="2"/>
  <c r="BL40" i="2"/>
  <c r="BJ40" i="2"/>
  <c r="BK40" i="2"/>
  <c r="BO14" i="2"/>
  <c r="BO13" i="2"/>
  <c r="AS38" i="2"/>
  <c r="BO27" i="2"/>
  <c r="AT40" i="2"/>
  <c r="AS26" i="2"/>
  <c r="AS39" i="2"/>
  <c r="AR40" i="2"/>
  <c r="AQ40" i="2"/>
  <c r="AP40" i="2"/>
  <c r="AV40" i="2" s="1"/>
  <c r="AZ40" i="2" s="1"/>
  <c r="AQ39" i="2"/>
  <c r="AR39" i="2"/>
  <c r="AP39" i="2"/>
  <c r="AQ38" i="2"/>
  <c r="AV38" i="2" s="1"/>
  <c r="AZ38" i="2" s="1"/>
  <c r="AR38" i="2"/>
  <c r="AU32" i="2"/>
  <c r="CI21" i="2"/>
  <c r="CI7" i="2"/>
  <c r="AW40" i="2"/>
  <c r="AY40" i="2"/>
  <c r="AS40" i="2"/>
  <c r="AT39" i="2"/>
  <c r="AT38" i="2"/>
  <c r="AX40" i="2"/>
  <c r="BP21" i="2"/>
  <c r="BT21" i="2" s="1"/>
  <c r="BP20" i="2"/>
  <c r="BT20" i="2" s="1"/>
  <c r="BO34" i="2"/>
  <c r="BO33" i="2"/>
  <c r="AU33" i="2"/>
  <c r="AU34" i="2"/>
  <c r="AY28" i="2"/>
  <c r="AX28" i="2"/>
  <c r="AW28" i="2"/>
  <c r="AT28" i="2"/>
  <c r="AS28" i="2"/>
  <c r="AT26" i="2"/>
  <c r="AT27" i="2"/>
  <c r="Y27" i="2"/>
  <c r="AS27" i="2"/>
  <c r="BO20" i="2"/>
  <c r="BO21" i="2"/>
  <c r="AP5" i="2"/>
  <c r="BO6" i="2"/>
  <c r="AY7" i="2"/>
  <c r="AP7" i="2"/>
  <c r="AX7" i="2"/>
  <c r="AQ7" i="2"/>
  <c r="AT7" i="2"/>
  <c r="AW7" i="2"/>
  <c r="AR7" i="2"/>
  <c r="AS7" i="2"/>
  <c r="AT6" i="2"/>
  <c r="AS6" i="2"/>
  <c r="AR6" i="2"/>
  <c r="AQ6" i="2"/>
  <c r="AP6" i="2"/>
  <c r="AS5" i="2"/>
  <c r="BO7" i="2"/>
  <c r="AQ5" i="2"/>
  <c r="AT5" i="2"/>
  <c r="Z21" i="2"/>
  <c r="Y21" i="2"/>
  <c r="AD6" i="2"/>
  <c r="AE6" i="2"/>
  <c r="AC6" i="2"/>
  <c r="Y20" i="2"/>
  <c r="Y26" i="2"/>
  <c r="Z19" i="2"/>
  <c r="Z28" i="2"/>
  <c r="Y28" i="2"/>
  <c r="Z20" i="2"/>
  <c r="Z18" i="2"/>
  <c r="Y25" i="2"/>
  <c r="Z27" i="2"/>
  <c r="Z25" i="2"/>
  <c r="Y18" i="2"/>
  <c r="Z26" i="2"/>
  <c r="Y19" i="2"/>
  <c r="Z14" i="2"/>
  <c r="Y14" i="2"/>
  <c r="Y11" i="2"/>
  <c r="Y12" i="2"/>
  <c r="Z11" i="2"/>
  <c r="Y13" i="2"/>
  <c r="Z12" i="2"/>
  <c r="Z13" i="2"/>
  <c r="AE14" i="2"/>
  <c r="AD14" i="2"/>
  <c r="AC14" i="2"/>
  <c r="AE21" i="2"/>
  <c r="AD21" i="2"/>
  <c r="AC21" i="2"/>
  <c r="AE33" i="2"/>
  <c r="AD33" i="2"/>
  <c r="AC33" i="2"/>
  <c r="AE28" i="2"/>
  <c r="AD28" i="2"/>
  <c r="AC28" i="2"/>
  <c r="AE38" i="2"/>
  <c r="AD38" i="2"/>
  <c r="AC38" i="2"/>
  <c r="U39" i="2"/>
  <c r="P40" i="2"/>
  <c r="U40" i="2" s="1"/>
  <c r="AO21" i="2"/>
  <c r="AR19" i="2" s="1"/>
  <c r="P7" i="2"/>
  <c r="U7" i="2" s="1"/>
  <c r="Z6" i="2" s="1"/>
  <c r="U34" i="2"/>
  <c r="W27" i="2"/>
  <c r="V25" i="2"/>
  <c r="X26" i="2"/>
  <c r="V27" i="2"/>
  <c r="X25" i="2"/>
  <c r="W25" i="2"/>
  <c r="V26" i="2"/>
  <c r="W26" i="2"/>
  <c r="W28" i="2"/>
  <c r="V28" i="2"/>
  <c r="X28" i="2"/>
  <c r="X27" i="2"/>
  <c r="V18" i="2"/>
  <c r="X19" i="2"/>
  <c r="V20" i="2"/>
  <c r="X18" i="2"/>
  <c r="W21" i="2"/>
  <c r="V21" i="2"/>
  <c r="X21" i="2"/>
  <c r="W18" i="2"/>
  <c r="V19" i="2"/>
  <c r="W19" i="2"/>
  <c r="W20" i="2"/>
  <c r="X20" i="2"/>
  <c r="W12" i="2"/>
  <c r="V13" i="2"/>
  <c r="X11" i="2"/>
  <c r="X12" i="2"/>
  <c r="W14" i="2"/>
  <c r="V14" i="2"/>
  <c r="X14" i="2"/>
  <c r="W11" i="2"/>
  <c r="V12" i="2"/>
  <c r="W13" i="2"/>
  <c r="V11" i="2"/>
  <c r="X13" i="2"/>
  <c r="AP27" i="2"/>
  <c r="AR27" i="2"/>
  <c r="AQ27" i="2"/>
  <c r="AR26" i="2"/>
  <c r="AP28" i="2"/>
  <c r="AQ28" i="2"/>
  <c r="AQ26" i="2"/>
  <c r="AP26" i="2"/>
  <c r="AR28" i="2"/>
  <c r="BK14" i="2"/>
  <c r="BK13" i="2"/>
  <c r="BL13" i="2"/>
  <c r="BJ13" i="2"/>
  <c r="BL14" i="2"/>
  <c r="BJ14" i="2"/>
  <c r="BL6" i="2"/>
  <c r="BK6" i="2"/>
  <c r="BK7" i="2"/>
  <c r="BJ7" i="2"/>
  <c r="BL7" i="2"/>
  <c r="BJ6" i="2"/>
  <c r="AU14" i="2" l="1"/>
  <c r="AU12" i="2"/>
  <c r="BE14" i="2" s="1"/>
  <c r="AV12" i="2"/>
  <c r="AZ12" i="2" s="1"/>
  <c r="BA14" i="2" s="1"/>
  <c r="BP39" i="2"/>
  <c r="BT39" i="2" s="1"/>
  <c r="AA18" i="2"/>
  <c r="BO40" i="2"/>
  <c r="BO39" i="2"/>
  <c r="AV39" i="2"/>
  <c r="AZ39" i="2" s="1"/>
  <c r="BA39" i="2" s="1"/>
  <c r="BP40" i="2"/>
  <c r="BT40" i="2" s="1"/>
  <c r="AU26" i="2"/>
  <c r="AP19" i="2"/>
  <c r="AQ20" i="2"/>
  <c r="AP21" i="2"/>
  <c r="AU39" i="2"/>
  <c r="AR20" i="2"/>
  <c r="AU38" i="2"/>
  <c r="BU20" i="2"/>
  <c r="BP14" i="2"/>
  <c r="BT14" i="2" s="1"/>
  <c r="AU40" i="2"/>
  <c r="AQ19" i="2"/>
  <c r="AQ21" i="2"/>
  <c r="AP20" i="2"/>
  <c r="AR21" i="2"/>
  <c r="BP6" i="2"/>
  <c r="BT6" i="2" s="1"/>
  <c r="AA27" i="2"/>
  <c r="BU21" i="2"/>
  <c r="AU27" i="2"/>
  <c r="AV28" i="2"/>
  <c r="AZ28" i="2" s="1"/>
  <c r="BZ21" i="2"/>
  <c r="AV26" i="2"/>
  <c r="AZ26" i="2" s="1"/>
  <c r="BV21" i="2"/>
  <c r="BP13" i="2"/>
  <c r="BT13" i="2" s="1"/>
  <c r="AA19" i="2"/>
  <c r="BP7" i="2"/>
  <c r="BT7" i="2" s="1"/>
  <c r="AV7" i="2"/>
  <c r="AZ7" i="2" s="1"/>
  <c r="AB14" i="2"/>
  <c r="AF14" i="2" s="1"/>
  <c r="AB21" i="2"/>
  <c r="AF21" i="2" s="1"/>
  <c r="AB28" i="2"/>
  <c r="AF28" i="2" s="1"/>
  <c r="AB27" i="2"/>
  <c r="AF27" i="2" s="1"/>
  <c r="AB26" i="2"/>
  <c r="AF26" i="2" s="1"/>
  <c r="AA20" i="2"/>
  <c r="AV27" i="2"/>
  <c r="AZ27" i="2" s="1"/>
  <c r="AB25" i="2"/>
  <c r="AF25" i="2" s="1"/>
  <c r="AU28" i="2"/>
  <c r="AB19" i="2"/>
  <c r="AF19" i="2" s="1"/>
  <c r="AB18" i="2"/>
  <c r="AF18" i="2" s="1"/>
  <c r="AB20" i="2"/>
  <c r="AF20" i="2" s="1"/>
  <c r="BZ20" i="2"/>
  <c r="BY20" i="2"/>
  <c r="BW21" i="2"/>
  <c r="AY21" i="2"/>
  <c r="AT21" i="2"/>
  <c r="AX21" i="2"/>
  <c r="AS21" i="2"/>
  <c r="AW21" i="2"/>
  <c r="AT19" i="2"/>
  <c r="AS20" i="2"/>
  <c r="AT20" i="2"/>
  <c r="AS19" i="2"/>
  <c r="BX20" i="2"/>
  <c r="BV20" i="2"/>
  <c r="BY21" i="2"/>
  <c r="BX21" i="2"/>
  <c r="BW20" i="2"/>
  <c r="AB13" i="2"/>
  <c r="AF13" i="2" s="1"/>
  <c r="BC14" i="2"/>
  <c r="BF14" i="2"/>
  <c r="BD14" i="2"/>
  <c r="BB14" i="2"/>
  <c r="AU5" i="2"/>
  <c r="AU6" i="2"/>
  <c r="AV6" i="2"/>
  <c r="AZ6" i="2" s="1"/>
  <c r="AV5" i="2"/>
  <c r="AZ5" i="2" s="1"/>
  <c r="AU7" i="2"/>
  <c r="AB11" i="2"/>
  <c r="AF11" i="2" s="1"/>
  <c r="X37" i="2"/>
  <c r="W37" i="2"/>
  <c r="AA13" i="2"/>
  <c r="W38" i="2"/>
  <c r="Z34" i="2"/>
  <c r="Y34" i="2"/>
  <c r="Z39" i="2"/>
  <c r="Y39" i="2"/>
  <c r="Z31" i="2"/>
  <c r="Y32" i="2"/>
  <c r="AA25" i="2"/>
  <c r="Y37" i="2"/>
  <c r="Y33" i="2"/>
  <c r="W6" i="2"/>
  <c r="X6" i="2"/>
  <c r="Y6" i="2"/>
  <c r="AA6" i="2" s="1"/>
  <c r="X38" i="2"/>
  <c r="Y31" i="2"/>
  <c r="Z37" i="2"/>
  <c r="Z33" i="2"/>
  <c r="AB12" i="2"/>
  <c r="AF12" i="2" s="1"/>
  <c r="V37" i="2"/>
  <c r="W7" i="2"/>
  <c r="AD7" i="2"/>
  <c r="Y7" i="2"/>
  <c r="AE7" i="2"/>
  <c r="Z7" i="2"/>
  <c r="V7" i="2"/>
  <c r="AC7" i="2"/>
  <c r="X7" i="2"/>
  <c r="Y38" i="2"/>
  <c r="AA26" i="2"/>
  <c r="Z40" i="2"/>
  <c r="Y40" i="2"/>
  <c r="Z38" i="2"/>
  <c r="V6" i="2"/>
  <c r="Z32" i="2"/>
  <c r="AA12" i="2"/>
  <c r="AA11" i="2"/>
  <c r="Y4" i="2"/>
  <c r="Z4" i="2"/>
  <c r="Y5" i="2"/>
  <c r="Z5" i="2"/>
  <c r="W40" i="2"/>
  <c r="X39" i="2"/>
  <c r="CE34" i="2"/>
  <c r="CD34" i="2"/>
  <c r="CF34" i="2"/>
  <c r="AV33" i="2"/>
  <c r="AZ33" i="2" s="1"/>
  <c r="V38" i="2"/>
  <c r="V40" i="2"/>
  <c r="AE40" i="2"/>
  <c r="AD40" i="2"/>
  <c r="AC40" i="2"/>
  <c r="AE39" i="2"/>
  <c r="AD39" i="2"/>
  <c r="AC39" i="2"/>
  <c r="AE34" i="2"/>
  <c r="AD34" i="2"/>
  <c r="AC34" i="2"/>
  <c r="X40" i="2"/>
  <c r="V39" i="2"/>
  <c r="W39" i="2"/>
  <c r="W4" i="2"/>
  <c r="X4" i="2"/>
  <c r="W5" i="2"/>
  <c r="X5" i="2"/>
  <c r="V4" i="2"/>
  <c r="V5" i="2"/>
  <c r="V34" i="2"/>
  <c r="W34" i="2"/>
  <c r="X34" i="2"/>
  <c r="V32" i="2"/>
  <c r="X31" i="2"/>
  <c r="W31" i="2"/>
  <c r="V33" i="2"/>
  <c r="X33" i="2"/>
  <c r="X32" i="2"/>
  <c r="V31" i="2"/>
  <c r="W32" i="2"/>
  <c r="W33" i="2"/>
  <c r="AA14" i="2"/>
  <c r="AA21" i="2"/>
  <c r="AA28" i="2"/>
  <c r="CU14" i="2"/>
  <c r="CV14" i="2"/>
  <c r="CC30" i="2"/>
  <c r="BK28" i="2"/>
  <c r="BJ28" i="2"/>
  <c r="BK27" i="2"/>
  <c r="BL28" i="2"/>
  <c r="BL27" i="2"/>
  <c r="BJ27" i="2"/>
  <c r="BC13" i="2" l="1"/>
  <c r="BE40" i="2"/>
  <c r="BF12" i="2"/>
  <c r="BD13" i="2"/>
  <c r="BE13" i="2"/>
  <c r="BB12" i="2"/>
  <c r="BB13" i="2"/>
  <c r="BD12" i="2"/>
  <c r="BA13" i="2"/>
  <c r="BE12" i="2"/>
  <c r="BF13" i="2"/>
  <c r="BC12" i="2"/>
  <c r="BA12" i="2"/>
  <c r="BV39" i="2"/>
  <c r="AV19" i="2"/>
  <c r="AZ19" i="2" s="1"/>
  <c r="AV20" i="2"/>
  <c r="AZ20" i="2" s="1"/>
  <c r="BP27" i="2"/>
  <c r="BX40" i="2"/>
  <c r="BU40" i="2"/>
  <c r="BV40" i="2"/>
  <c r="BA38" i="2"/>
  <c r="BB40" i="2"/>
  <c r="BD40" i="2"/>
  <c r="BF40" i="2"/>
  <c r="AV21" i="2"/>
  <c r="AZ21" i="2" s="1"/>
  <c r="BA21" i="2" s="1"/>
  <c r="AB37" i="2"/>
  <c r="AF37" i="2" s="1"/>
  <c r="BW39" i="2"/>
  <c r="BZ40" i="2"/>
  <c r="BX39" i="2"/>
  <c r="BU39" i="2"/>
  <c r="BY40" i="2"/>
  <c r="BZ39" i="2"/>
  <c r="BW40" i="2"/>
  <c r="BY39" i="2"/>
  <c r="BC40" i="2"/>
  <c r="BA40" i="2"/>
  <c r="BW14" i="2"/>
  <c r="BU14" i="2"/>
  <c r="BF39" i="2"/>
  <c r="BC39" i="2"/>
  <c r="BB39" i="2"/>
  <c r="BD38" i="2"/>
  <c r="BD39" i="2"/>
  <c r="BC38" i="2"/>
  <c r="BF38" i="2"/>
  <c r="BE38" i="2"/>
  <c r="BE39" i="2"/>
  <c r="BB38" i="2"/>
  <c r="BA28" i="2"/>
  <c r="BU6" i="2"/>
  <c r="BX7" i="2"/>
  <c r="BZ6" i="2"/>
  <c r="BZ13" i="2"/>
  <c r="BV14" i="2"/>
  <c r="BX6" i="2"/>
  <c r="BY7" i="2"/>
  <c r="BW7" i="2"/>
  <c r="BY6" i="2"/>
  <c r="BW13" i="2"/>
  <c r="BY13" i="2"/>
  <c r="BZ14" i="2"/>
  <c r="BV7" i="2"/>
  <c r="BZ7" i="2"/>
  <c r="BW6" i="2"/>
  <c r="BX13" i="2"/>
  <c r="BV13" i="2"/>
  <c r="BX14" i="2"/>
  <c r="BU7" i="2"/>
  <c r="BV6" i="2"/>
  <c r="BU13" i="2"/>
  <c r="BY14" i="2"/>
  <c r="AB6" i="2"/>
  <c r="AF6" i="2" s="1"/>
  <c r="AB7" i="2"/>
  <c r="AF7" i="2" s="1"/>
  <c r="AA33" i="2"/>
  <c r="BA26" i="2"/>
  <c r="BD26" i="2"/>
  <c r="BA27" i="2"/>
  <c r="BP34" i="2"/>
  <c r="BT34" i="2" s="1"/>
  <c r="BP33" i="2"/>
  <c r="BT33" i="2" s="1"/>
  <c r="AV32" i="2"/>
  <c r="AZ32" i="2" s="1"/>
  <c r="BT27" i="2"/>
  <c r="BE28" i="2"/>
  <c r="AA5" i="2"/>
  <c r="AA4" i="2"/>
  <c r="AA40" i="2"/>
  <c r="BB7" i="2"/>
  <c r="AA31" i="2"/>
  <c r="AB39" i="2"/>
  <c r="AF39" i="2" s="1"/>
  <c r="AB34" i="2"/>
  <c r="AF34" i="2" s="1"/>
  <c r="AB40" i="2"/>
  <c r="AF40" i="2" s="1"/>
  <c r="AB38" i="2"/>
  <c r="AF38" i="2" s="1"/>
  <c r="AB33" i="2"/>
  <c r="AF33" i="2" s="1"/>
  <c r="AV34" i="2"/>
  <c r="AZ34" i="2" s="1"/>
  <c r="AB32" i="2"/>
  <c r="AF32" i="2" s="1"/>
  <c r="AB31" i="2"/>
  <c r="AF31" i="2" s="1"/>
  <c r="AL27" i="2"/>
  <c r="AJ27" i="2"/>
  <c r="AH27" i="2"/>
  <c r="AK27" i="2"/>
  <c r="AI27" i="2"/>
  <c r="AI28" i="2"/>
  <c r="AJ28" i="2"/>
  <c r="AL28" i="2"/>
  <c r="AH28" i="2"/>
  <c r="AK28" i="2"/>
  <c r="BC26" i="2"/>
  <c r="BF26" i="2"/>
  <c r="BB28" i="2"/>
  <c r="BB26" i="2"/>
  <c r="BD28" i="2"/>
  <c r="BC28" i="2"/>
  <c r="BF27" i="2"/>
  <c r="BB27" i="2"/>
  <c r="BD27" i="2"/>
  <c r="BC27" i="2"/>
  <c r="BE27" i="2"/>
  <c r="BE26" i="2"/>
  <c r="BF28" i="2"/>
  <c r="AJ25" i="2"/>
  <c r="BP28" i="2"/>
  <c r="BT28" i="2" s="1"/>
  <c r="AH26" i="2"/>
  <c r="AI26" i="2"/>
  <c r="AL26" i="2"/>
  <c r="AL25" i="2"/>
  <c r="AJ26" i="2"/>
  <c r="AI25" i="2"/>
  <c r="AH25" i="2"/>
  <c r="AK25" i="2"/>
  <c r="AK26" i="2"/>
  <c r="AU20" i="2"/>
  <c r="AU21" i="2"/>
  <c r="AU19" i="2"/>
  <c r="AL13" i="2"/>
  <c r="AJ13" i="2"/>
  <c r="AH13" i="2"/>
  <c r="AI13" i="2"/>
  <c r="AK13" i="2"/>
  <c r="AH14" i="2"/>
  <c r="AK14" i="2"/>
  <c r="AJ14" i="2"/>
  <c r="AL14" i="2"/>
  <c r="AI14" i="2"/>
  <c r="BF7" i="2"/>
  <c r="BC6" i="2"/>
  <c r="BE6" i="2"/>
  <c r="BD6" i="2"/>
  <c r="BF6" i="2"/>
  <c r="BA6" i="2"/>
  <c r="BB6" i="2"/>
  <c r="BC7" i="2"/>
  <c r="BE7" i="2"/>
  <c r="BD7" i="2"/>
  <c r="BB5" i="2"/>
  <c r="BC5" i="2"/>
  <c r="BE5" i="2"/>
  <c r="BD5" i="2"/>
  <c r="BF5" i="2"/>
  <c r="BA5" i="2"/>
  <c r="BA7" i="2"/>
  <c r="AA38" i="2"/>
  <c r="AA7" i="2"/>
  <c r="AJ12" i="2"/>
  <c r="AL12" i="2"/>
  <c r="AI12" i="2"/>
  <c r="AK12" i="2"/>
  <c r="AH12" i="2"/>
  <c r="AI18" i="2"/>
  <c r="AK18" i="2"/>
  <c r="AL18" i="2"/>
  <c r="AJ18" i="2"/>
  <c r="AH18" i="2"/>
  <c r="AJ19" i="2"/>
  <c r="AL19" i="2"/>
  <c r="AH19" i="2"/>
  <c r="AI19" i="2"/>
  <c r="AK19" i="2"/>
  <c r="AK20" i="2"/>
  <c r="AI20" i="2"/>
  <c r="AL20" i="2"/>
  <c r="AJ20" i="2"/>
  <c r="AH20" i="2"/>
  <c r="AA32" i="2"/>
  <c r="AB5" i="2"/>
  <c r="AF5" i="2" s="1"/>
  <c r="AH11" i="2"/>
  <c r="AJ11" i="2"/>
  <c r="AI11" i="2"/>
  <c r="AK11" i="2"/>
  <c r="AL11" i="2"/>
  <c r="AK21" i="2"/>
  <c r="AL21" i="2"/>
  <c r="AH21" i="2"/>
  <c r="AJ21" i="2"/>
  <c r="AI21" i="2"/>
  <c r="AB4" i="2"/>
  <c r="AF4" i="2" s="1"/>
  <c r="AA37" i="2"/>
  <c r="AA39" i="2"/>
  <c r="AA34" i="2"/>
  <c r="CU21" i="2"/>
  <c r="AG28" i="2"/>
  <c r="AG14" i="2"/>
  <c r="AG21" i="2"/>
  <c r="BG14" i="2"/>
  <c r="AG27" i="2"/>
  <c r="AG13" i="2"/>
  <c r="AG20" i="2"/>
  <c r="AG25" i="2"/>
  <c r="AG26" i="2"/>
  <c r="AG18" i="2"/>
  <c r="AG11" i="2"/>
  <c r="AG19" i="2"/>
  <c r="AG12" i="2"/>
  <c r="CE28" i="2"/>
  <c r="CF28" i="2"/>
  <c r="CD28" i="2"/>
  <c r="CV21" i="2"/>
  <c r="BG13" i="2" l="1"/>
  <c r="BA20" i="2"/>
  <c r="BA19" i="2"/>
  <c r="CA40" i="2"/>
  <c r="CA39" i="2"/>
  <c r="CB40" i="2" s="1"/>
  <c r="BC32" i="2"/>
  <c r="BA34" i="2"/>
  <c r="BG7" i="2"/>
  <c r="BU28" i="2"/>
  <c r="BU34" i="2"/>
  <c r="BU27" i="2"/>
  <c r="AG6" i="2"/>
  <c r="BU33" i="2"/>
  <c r="BA32" i="2"/>
  <c r="BA33" i="2"/>
  <c r="BY33" i="2"/>
  <c r="BX28" i="2"/>
  <c r="BZ34" i="2"/>
  <c r="BV34" i="2"/>
  <c r="BY34" i="2"/>
  <c r="BV33" i="2"/>
  <c r="BW34" i="2"/>
  <c r="BW33" i="2"/>
  <c r="BX34" i="2"/>
  <c r="BX33" i="2"/>
  <c r="BZ33" i="2"/>
  <c r="BG38" i="2"/>
  <c r="BE32" i="2"/>
  <c r="BD33" i="2"/>
  <c r="BE33" i="2"/>
  <c r="BW27" i="2"/>
  <c r="BZ27" i="2"/>
  <c r="BX27" i="2"/>
  <c r="BY27" i="2"/>
  <c r="BV27" i="2"/>
  <c r="BV28" i="2"/>
  <c r="BZ28" i="2"/>
  <c r="BY28" i="2"/>
  <c r="BW28" i="2"/>
  <c r="BF21" i="2"/>
  <c r="AH7" i="2"/>
  <c r="AG40" i="2"/>
  <c r="AK39" i="2"/>
  <c r="AI39" i="2"/>
  <c r="AL39" i="2"/>
  <c r="AJ39" i="2"/>
  <c r="AH39" i="2"/>
  <c r="AH40" i="2"/>
  <c r="AJ40" i="2"/>
  <c r="AL40" i="2"/>
  <c r="AK40" i="2"/>
  <c r="AI40" i="2"/>
  <c r="BG39" i="2"/>
  <c r="BG40" i="2"/>
  <c r="AI37" i="2"/>
  <c r="AI38" i="2"/>
  <c r="AH38" i="2"/>
  <c r="AJ38" i="2"/>
  <c r="AL38" i="2"/>
  <c r="AK38" i="2"/>
  <c r="AJ37" i="2"/>
  <c r="AK37" i="2"/>
  <c r="AH37" i="2"/>
  <c r="AL37" i="2"/>
  <c r="AH34" i="2"/>
  <c r="AI34" i="2"/>
  <c r="AK34" i="2"/>
  <c r="AL34" i="2"/>
  <c r="AJ34" i="2"/>
  <c r="AJ33" i="2"/>
  <c r="AL33" i="2"/>
  <c r="AH33" i="2"/>
  <c r="AI33" i="2"/>
  <c r="AK33" i="2"/>
  <c r="BB32" i="2"/>
  <c r="BB33" i="2"/>
  <c r="BD32" i="2"/>
  <c r="BD34" i="2"/>
  <c r="BC34" i="2"/>
  <c r="BE34" i="2"/>
  <c r="BF34" i="2"/>
  <c r="BB34" i="2"/>
  <c r="BF32" i="2"/>
  <c r="BC33" i="2"/>
  <c r="BF33" i="2"/>
  <c r="AJ32" i="2"/>
  <c r="AL32" i="2"/>
  <c r="AK31" i="2"/>
  <c r="AH31" i="2"/>
  <c r="AI31" i="2"/>
  <c r="AK32" i="2"/>
  <c r="AH32" i="2"/>
  <c r="AI32" i="2"/>
  <c r="AJ31" i="2"/>
  <c r="AL31" i="2"/>
  <c r="BE19" i="2"/>
  <c r="BE20" i="2"/>
  <c r="BE21" i="2"/>
  <c r="BD19" i="2"/>
  <c r="BF19" i="2"/>
  <c r="BD20" i="2"/>
  <c r="BC21" i="2"/>
  <c r="BB19" i="2"/>
  <c r="BC20" i="2"/>
  <c r="BB21" i="2"/>
  <c r="BC19" i="2"/>
  <c r="BF20" i="2"/>
  <c r="BB20" i="2"/>
  <c r="BD21" i="2"/>
  <c r="AH6" i="2"/>
  <c r="AI6" i="2"/>
  <c r="AK7" i="2"/>
  <c r="AK6" i="2"/>
  <c r="AJ7" i="2"/>
  <c r="AL6" i="2"/>
  <c r="AL7" i="2"/>
  <c r="AG7" i="2"/>
  <c r="AJ6" i="2"/>
  <c r="AI7" i="2"/>
  <c r="BG5" i="2"/>
  <c r="BG6" i="2"/>
  <c r="CA6" i="2"/>
  <c r="CA7" i="2"/>
  <c r="AI4" i="2"/>
  <c r="AL4" i="2"/>
  <c r="AK4" i="2"/>
  <c r="AH4" i="2"/>
  <c r="AJ4" i="2"/>
  <c r="AG4" i="2"/>
  <c r="AH5" i="2"/>
  <c r="AI5" i="2"/>
  <c r="AK5" i="2"/>
  <c r="AL5" i="2"/>
  <c r="AJ5" i="2"/>
  <c r="AG5" i="2"/>
  <c r="AG33" i="2"/>
  <c r="AG37" i="2"/>
  <c r="AG39" i="2"/>
  <c r="AG38" i="2"/>
  <c r="AG32" i="2"/>
  <c r="AG34" i="2"/>
  <c r="AG31" i="2"/>
  <c r="AM28" i="2"/>
  <c r="BG28" i="2"/>
  <c r="AM14" i="2"/>
  <c r="AM21" i="2"/>
  <c r="AM27" i="2"/>
  <c r="AM20" i="2"/>
  <c r="AM13" i="2"/>
  <c r="CA20" i="2"/>
  <c r="CA21" i="2"/>
  <c r="BG12" i="2"/>
  <c r="BH14" i="2" s="1"/>
  <c r="CV7" i="2"/>
  <c r="BH40" i="2" l="1"/>
  <c r="CB39" i="2"/>
  <c r="BG34" i="2"/>
  <c r="CA34" i="2"/>
  <c r="CA33" i="2"/>
  <c r="CB34" i="2" s="1"/>
  <c r="BH39" i="2"/>
  <c r="BH38" i="2"/>
  <c r="BG33" i="2"/>
  <c r="BG32" i="2"/>
  <c r="BH34" i="2" s="1"/>
  <c r="AM6" i="2"/>
  <c r="AM7" i="2"/>
  <c r="BH6" i="2"/>
  <c r="BH5" i="2"/>
  <c r="BH7" i="2"/>
  <c r="AM31" i="2"/>
  <c r="AM38" i="2"/>
  <c r="AM40" i="2"/>
  <c r="BH13" i="2"/>
  <c r="BH12" i="2"/>
  <c r="AM37" i="2"/>
  <c r="AM34" i="2"/>
  <c r="AM33" i="2"/>
  <c r="AM39" i="2"/>
  <c r="AM32" i="2"/>
  <c r="CB20" i="2"/>
  <c r="CB21" i="2"/>
  <c r="BG21" i="2"/>
  <c r="CA14" i="2"/>
  <c r="CA13" i="2"/>
  <c r="BG19" i="2"/>
  <c r="BG20" i="2"/>
  <c r="BG27" i="2"/>
  <c r="BG26" i="2"/>
  <c r="CA27" i="2"/>
  <c r="CA28" i="2"/>
  <c r="AM19" i="2"/>
  <c r="AM25" i="2"/>
  <c r="AM26" i="2"/>
  <c r="AM12" i="2"/>
  <c r="AM18" i="2"/>
  <c r="AM11" i="2"/>
  <c r="AM5" i="2"/>
  <c r="AM4" i="2"/>
  <c r="AN39" i="2" l="1"/>
  <c r="CW39" i="2" s="1"/>
  <c r="CB33" i="2"/>
  <c r="AN33" i="2"/>
  <c r="BH20" i="2"/>
  <c r="BH33" i="2"/>
  <c r="BH32" i="2"/>
  <c r="BH19" i="2"/>
  <c r="AN37" i="2"/>
  <c r="CW37" i="2" s="1"/>
  <c r="BH21" i="2"/>
  <c r="BH28" i="2"/>
  <c r="AN32" i="2"/>
  <c r="AN40" i="2"/>
  <c r="CW40" i="2" s="1"/>
  <c r="AN34" i="2"/>
  <c r="AN38" i="2"/>
  <c r="CW38" i="2" s="1"/>
  <c r="AN31" i="2"/>
  <c r="CW31" i="2" s="1"/>
  <c r="AN6" i="2"/>
  <c r="AN7" i="2"/>
  <c r="BH27" i="2"/>
  <c r="BH26" i="2"/>
  <c r="AN4" i="2"/>
  <c r="CW4" i="2" s="1"/>
  <c r="AN5" i="2"/>
  <c r="CW5" i="2" s="1"/>
  <c r="AN12" i="2"/>
  <c r="CW12" i="2" s="1"/>
  <c r="AN11" i="2"/>
  <c r="CW11" i="2" s="1"/>
  <c r="AN13" i="2"/>
  <c r="AN14" i="2"/>
  <c r="AN26" i="2"/>
  <c r="AN25" i="2"/>
  <c r="CW25" i="2" s="1"/>
  <c r="AN27" i="2"/>
  <c r="AN28" i="2"/>
  <c r="AN18" i="2"/>
  <c r="CW18" i="2" s="1"/>
  <c r="AN19" i="2"/>
  <c r="AN20" i="2"/>
  <c r="AN21" i="2"/>
  <c r="CU28" i="2"/>
  <c r="CV28" i="2" s="1"/>
  <c r="CV29" i="2" s="1"/>
  <c r="CB7" i="2"/>
  <c r="CB14" i="2"/>
  <c r="CB13" i="2"/>
  <c r="CB6" i="2"/>
  <c r="CB27" i="2"/>
  <c r="CB28" i="2"/>
  <c r="A37" i="2" l="1"/>
  <c r="CW6" i="2"/>
  <c r="CW20" i="2"/>
  <c r="CW33" i="2"/>
  <c r="CW21" i="2"/>
  <c r="CW19" i="2"/>
  <c r="CW32" i="2"/>
  <c r="CW34" i="2"/>
  <c r="A39" i="2"/>
  <c r="A38" i="2"/>
  <c r="A40" i="2"/>
  <c r="CW26" i="2"/>
  <c r="CW27" i="2"/>
  <c r="CW13" i="2"/>
  <c r="CW14" i="2"/>
  <c r="CW7" i="2"/>
  <c r="CW28" i="2"/>
  <c r="A21" i="2" l="1"/>
  <c r="A20" i="2"/>
  <c r="A5" i="2"/>
  <c r="A19" i="2"/>
  <c r="A18" i="2"/>
  <c r="A33" i="2"/>
  <c r="A34" i="2"/>
  <c r="A32" i="2"/>
  <c r="A31" i="2"/>
  <c r="AD38" i="1"/>
  <c r="E28" i="23" s="1"/>
  <c r="AD40" i="1"/>
  <c r="E30" i="23" s="1"/>
  <c r="AD39" i="1"/>
  <c r="AD37" i="1"/>
  <c r="E27" i="23" s="1"/>
  <c r="A14" i="2"/>
  <c r="A13" i="2"/>
  <c r="A12" i="2"/>
  <c r="A11" i="2"/>
  <c r="A4" i="2"/>
  <c r="A7" i="2"/>
  <c r="A6" i="2"/>
  <c r="A25" i="2"/>
  <c r="A27" i="2"/>
  <c r="A26" i="2"/>
  <c r="A28" i="2"/>
  <c r="DH8" i="2" l="1"/>
  <c r="DP8" i="2" s="1"/>
  <c r="E29" i="23"/>
  <c r="AD23" i="1"/>
  <c r="AD22" i="1"/>
  <c r="E15" i="23" s="1"/>
  <c r="AD24" i="1"/>
  <c r="AD25" i="1"/>
  <c r="AD35" i="1"/>
  <c r="AD34" i="1"/>
  <c r="E25" i="23" s="1"/>
  <c r="AD32" i="1"/>
  <c r="AD33" i="1"/>
  <c r="AL37" i="1"/>
  <c r="AK37" i="1"/>
  <c r="AJ37" i="1"/>
  <c r="AN37" i="1"/>
  <c r="AI37" i="1"/>
  <c r="AJ39" i="1"/>
  <c r="DJ8" i="2" s="1"/>
  <c r="AN39" i="1"/>
  <c r="DM8" i="2" s="1"/>
  <c r="AI39" i="1"/>
  <c r="DI8" i="2" s="1"/>
  <c r="AL39" i="1"/>
  <c r="DL8" i="2" s="1"/>
  <c r="AK39" i="1"/>
  <c r="DK8" i="2" s="1"/>
  <c r="AN40" i="1"/>
  <c r="AI40" i="1"/>
  <c r="AL40" i="1"/>
  <c r="AK40" i="1"/>
  <c r="AJ40" i="1"/>
  <c r="AK38" i="1"/>
  <c r="AJ38" i="1"/>
  <c r="AN38" i="1"/>
  <c r="AI38" i="1"/>
  <c r="AL38" i="1"/>
  <c r="AD17" i="1"/>
  <c r="E11" i="23" s="1"/>
  <c r="AD20" i="1"/>
  <c r="E14" i="23" s="1"/>
  <c r="AD18" i="1"/>
  <c r="E12" i="23" s="1"/>
  <c r="AD19" i="1"/>
  <c r="AD14" i="1"/>
  <c r="AD12" i="1"/>
  <c r="E7" i="23" s="1"/>
  <c r="AD13" i="1"/>
  <c r="E8" i="23" s="1"/>
  <c r="AD15" i="1"/>
  <c r="E10" i="23" s="1"/>
  <c r="AD28" i="1"/>
  <c r="E20" i="23" s="1"/>
  <c r="AD29" i="1"/>
  <c r="AD30" i="1"/>
  <c r="E22" i="23" s="1"/>
  <c r="AD27" i="1"/>
  <c r="E19" i="23" s="1"/>
  <c r="AI22" i="1" l="1"/>
  <c r="AN22" i="1"/>
  <c r="AK22" i="1"/>
  <c r="AJ22" i="1"/>
  <c r="AL22" i="1"/>
  <c r="DH3" i="2"/>
  <c r="DP3" i="2" s="1"/>
  <c r="E9" i="23"/>
  <c r="DH4" i="2"/>
  <c r="DP4" i="2" s="1"/>
  <c r="E13" i="23"/>
  <c r="AK35" i="1"/>
  <c r="E26" i="23"/>
  <c r="AN23" i="1"/>
  <c r="E16" i="23"/>
  <c r="AJ33" i="1"/>
  <c r="E24" i="23"/>
  <c r="AN25" i="1"/>
  <c r="E18" i="23"/>
  <c r="DH6" i="2"/>
  <c r="DP6" i="2" s="1"/>
  <c r="E21" i="23"/>
  <c r="AN32" i="1"/>
  <c r="E23" i="23"/>
  <c r="DH5" i="2"/>
  <c r="DP5" i="2" s="1"/>
  <c r="E17" i="23"/>
  <c r="AJ24" i="1"/>
  <c r="DJ5" i="2" s="1"/>
  <c r="AL23" i="1"/>
  <c r="AK23" i="1"/>
  <c r="AI23" i="1"/>
  <c r="AJ23" i="1"/>
  <c r="AJ25" i="1"/>
  <c r="AL25" i="1"/>
  <c r="AK25" i="1"/>
  <c r="AI25" i="1"/>
  <c r="AI24" i="1"/>
  <c r="DI5" i="2" s="1"/>
  <c r="AL24" i="1"/>
  <c r="DL5" i="2" s="1"/>
  <c r="AN24" i="1"/>
  <c r="DM5" i="2" s="1"/>
  <c r="AK24" i="1"/>
  <c r="DK5" i="2" s="1"/>
  <c r="AJ34" i="1"/>
  <c r="DJ7" i="2" s="1"/>
  <c r="DH7" i="2"/>
  <c r="DP7" i="2" s="1"/>
  <c r="AN35" i="1"/>
  <c r="AL35" i="1"/>
  <c r="AI35" i="1"/>
  <c r="AJ35" i="1"/>
  <c r="AL34" i="1"/>
  <c r="DL7" i="2" s="1"/>
  <c r="AI34" i="1"/>
  <c r="DI7" i="2" s="1"/>
  <c r="AL33" i="1"/>
  <c r="AK33" i="1"/>
  <c r="AN34" i="1"/>
  <c r="DM7" i="2" s="1"/>
  <c r="AL32" i="1"/>
  <c r="AN33" i="1"/>
  <c r="AK34" i="1"/>
  <c r="DK7" i="2" s="1"/>
  <c r="AI32" i="1"/>
  <c r="AJ32" i="1"/>
  <c r="AK32" i="1"/>
  <c r="AI33" i="1"/>
  <c r="AH37" i="1"/>
  <c r="AH40" i="1"/>
  <c r="AJ29" i="1"/>
  <c r="DJ6" i="2" s="1"/>
  <c r="AN29" i="1"/>
  <c r="DM6" i="2" s="1"/>
  <c r="AI29" i="1"/>
  <c r="DI6" i="2" s="1"/>
  <c r="AL29" i="1"/>
  <c r="DL6" i="2" s="1"/>
  <c r="AK29" i="1"/>
  <c r="DK6" i="2" s="1"/>
  <c r="AK15" i="1"/>
  <c r="AJ15" i="1"/>
  <c r="AN15" i="1"/>
  <c r="AI15" i="1"/>
  <c r="AL15" i="1"/>
  <c r="AJ17" i="1"/>
  <c r="AN17" i="1"/>
  <c r="AI17" i="1"/>
  <c r="AL17" i="1"/>
  <c r="AK17" i="1"/>
  <c r="AL28" i="1"/>
  <c r="AK28" i="1"/>
  <c r="AJ28" i="1"/>
  <c r="AN28" i="1"/>
  <c r="AI28" i="1"/>
  <c r="AN13" i="1"/>
  <c r="AI13" i="1"/>
  <c r="AL13" i="1"/>
  <c r="AK13" i="1"/>
  <c r="AJ13" i="1"/>
  <c r="AL19" i="1"/>
  <c r="DL4" i="2" s="1"/>
  <c r="AK19" i="1"/>
  <c r="DK4" i="2" s="1"/>
  <c r="AJ19" i="1"/>
  <c r="DJ4" i="2" s="1"/>
  <c r="AN19" i="1"/>
  <c r="DM4" i="2" s="1"/>
  <c r="AI19" i="1"/>
  <c r="DI4" i="2" s="1"/>
  <c r="AH39" i="1"/>
  <c r="AN18" i="1"/>
  <c r="AI18" i="1"/>
  <c r="AL18" i="1"/>
  <c r="AK18" i="1"/>
  <c r="AJ18" i="1"/>
  <c r="AN27" i="1"/>
  <c r="AI27" i="1"/>
  <c r="AL27" i="1"/>
  <c r="AK27" i="1"/>
  <c r="AJ27" i="1"/>
  <c r="AK12" i="1"/>
  <c r="AJ12" i="1"/>
  <c r="AN12" i="1"/>
  <c r="AI12" i="1"/>
  <c r="AL12" i="1"/>
  <c r="AN30" i="1"/>
  <c r="AI30" i="1"/>
  <c r="AL30" i="1"/>
  <c r="AK30" i="1"/>
  <c r="AJ30" i="1"/>
  <c r="AL14" i="1"/>
  <c r="DL3" i="2" s="1"/>
  <c r="AK14" i="1"/>
  <c r="DK3" i="2" s="1"/>
  <c r="AJ14" i="1"/>
  <c r="DJ3" i="2" s="1"/>
  <c r="AN14" i="1"/>
  <c r="DM3" i="2" s="1"/>
  <c r="AI14" i="1"/>
  <c r="DI3" i="2" s="1"/>
  <c r="AK20" i="1"/>
  <c r="AJ20" i="1"/>
  <c r="AN20" i="1"/>
  <c r="AI20" i="1"/>
  <c r="AL20" i="1"/>
  <c r="AH38" i="1"/>
  <c r="AH33" i="1" l="1"/>
  <c r="AO22" i="1"/>
  <c r="H97" i="1"/>
  <c r="C55" i="23" s="1"/>
  <c r="E55" i="23" s="1"/>
  <c r="H72" i="1"/>
  <c r="AH23" i="1"/>
  <c r="AO23" i="1"/>
  <c r="AH22" i="1"/>
  <c r="AP22" i="1"/>
  <c r="AP23" i="1"/>
  <c r="AO25" i="1"/>
  <c r="AH25" i="1"/>
  <c r="AP25" i="1"/>
  <c r="AP24" i="1"/>
  <c r="DO5" i="2" s="1"/>
  <c r="AH24" i="1"/>
  <c r="AO24" i="1"/>
  <c r="DN5" i="2" s="1"/>
  <c r="AH34" i="1"/>
  <c r="AH35" i="1"/>
  <c r="AH32" i="1"/>
  <c r="AO28" i="1"/>
  <c r="AO30" i="1"/>
  <c r="AO17" i="1"/>
  <c r="AH20" i="1"/>
  <c r="AH14" i="1"/>
  <c r="AH27" i="1"/>
  <c r="AH28" i="1"/>
  <c r="AH29" i="1"/>
  <c r="AH18" i="1"/>
  <c r="AH17" i="1"/>
  <c r="AH30" i="1"/>
  <c r="AH19" i="1"/>
  <c r="AH15" i="1"/>
  <c r="AH13" i="1"/>
  <c r="AP27" i="1"/>
  <c r="AP28" i="1"/>
  <c r="AP14" i="1"/>
  <c r="DO3" i="2" s="1"/>
  <c r="AP29" i="1"/>
  <c r="DO6" i="2" s="1"/>
  <c r="AP30" i="1"/>
  <c r="AP13" i="1"/>
  <c r="AP15" i="1"/>
  <c r="AP12" i="1"/>
  <c r="AP19" i="1"/>
  <c r="DO4" i="2" s="1"/>
  <c r="AP32" i="1"/>
  <c r="AP37" i="1"/>
  <c r="AP35" i="1"/>
  <c r="AP40" i="1"/>
  <c r="AP20" i="1"/>
  <c r="AP17" i="1"/>
  <c r="AP34" i="1"/>
  <c r="DO7" i="2" s="1"/>
  <c r="AP39" i="1"/>
  <c r="DO8" i="2" s="1"/>
  <c r="AP18" i="1"/>
  <c r="AP33" i="1"/>
  <c r="AP38" i="1"/>
  <c r="AO32" i="1"/>
  <c r="AO37" i="1"/>
  <c r="AO35" i="1"/>
  <c r="AO40" i="1"/>
  <c r="AO34" i="1"/>
  <c r="DN7" i="2" s="1"/>
  <c r="AO39" i="1"/>
  <c r="DN8" i="2" s="1"/>
  <c r="AO38" i="1"/>
  <c r="AO33" i="1"/>
  <c r="AO18" i="1"/>
  <c r="AO29" i="1"/>
  <c r="DN6" i="2" s="1"/>
  <c r="AO20" i="1"/>
  <c r="AO19" i="1"/>
  <c r="DN4" i="2" s="1"/>
  <c r="AO12" i="1"/>
  <c r="AO14" i="1"/>
  <c r="DN3" i="2" s="1"/>
  <c r="AO13" i="1"/>
  <c r="AH12" i="1"/>
  <c r="AO15" i="1"/>
  <c r="AO27" i="1"/>
  <c r="C50" i="23" l="1"/>
  <c r="E50" i="23" s="1"/>
  <c r="N70" i="1"/>
  <c r="C59" i="23" s="1"/>
  <c r="E59" i="23" s="1"/>
  <c r="H90" i="1"/>
  <c r="H96" i="1"/>
  <c r="H85" i="1"/>
  <c r="C53" i="23" s="1"/>
  <c r="E53" i="23" s="1"/>
  <c r="H78" i="1"/>
  <c r="H73" i="1"/>
  <c r="C51" i="23" s="1"/>
  <c r="E51" i="23" s="1"/>
  <c r="H84" i="1"/>
  <c r="N82" i="1" s="1"/>
  <c r="C61" i="23" s="1"/>
  <c r="E61" i="23" s="1"/>
  <c r="H54" i="1"/>
  <c r="H66" i="1"/>
  <c r="H60" i="1"/>
  <c r="H55" i="1"/>
  <c r="C41" i="23" s="1"/>
  <c r="DQ8" i="2"/>
  <c r="DQ3" i="2"/>
  <c r="DQ5" i="2"/>
  <c r="DQ4" i="2"/>
  <c r="DQ7" i="2"/>
  <c r="DQ6" i="2"/>
  <c r="C40" i="23" l="1"/>
  <c r="E40" i="23" s="1"/>
  <c r="N57" i="1"/>
  <c r="C56" i="23" s="1"/>
  <c r="C54" i="23"/>
  <c r="E54" i="23" s="1"/>
  <c r="N94" i="1"/>
  <c r="C63" i="23" s="1"/>
  <c r="E63" i="23" s="1"/>
  <c r="C46" i="23"/>
  <c r="E46" i="23" s="1"/>
  <c r="N93" i="1"/>
  <c r="S88" i="1" s="1"/>
  <c r="C42" i="23"/>
  <c r="E42" i="23" s="1"/>
  <c r="N69" i="1"/>
  <c r="S64" i="1" s="1"/>
  <c r="C48" i="23"/>
  <c r="E48" i="23" s="1"/>
  <c r="N81" i="1"/>
  <c r="C52" i="23"/>
  <c r="E52" i="23" s="1"/>
  <c r="M82" i="1"/>
  <c r="C44" i="23"/>
  <c r="E44" i="23" s="1"/>
  <c r="DS5" i="2"/>
  <c r="DR3" i="2"/>
  <c r="DS6" i="2"/>
  <c r="DR4" i="2"/>
  <c r="DT7" i="2"/>
  <c r="DR7" i="2"/>
  <c r="DS3" i="2"/>
  <c r="DT3" i="2"/>
  <c r="DT8" i="2"/>
  <c r="DT6" i="2"/>
  <c r="DT5" i="2"/>
  <c r="DR8" i="2"/>
  <c r="DR5" i="2"/>
  <c r="DR6" i="2"/>
  <c r="DS8" i="2"/>
  <c r="DT4" i="2"/>
  <c r="DS7" i="2"/>
  <c r="DS4" i="2"/>
  <c r="M70" i="1"/>
  <c r="M94" i="1" l="1"/>
  <c r="S87" i="1"/>
  <c r="AC97" i="1" s="1"/>
  <c r="C73" i="23" s="1"/>
  <c r="E73" i="23" s="1"/>
  <c r="C60" i="23"/>
  <c r="DU3" i="2"/>
  <c r="DU6" i="2"/>
  <c r="DU8" i="2"/>
  <c r="DU5" i="2"/>
  <c r="DU7" i="2"/>
  <c r="DU4" i="2"/>
  <c r="M57" i="1"/>
  <c r="AC76" i="1" l="1"/>
  <c r="C66" i="23"/>
  <c r="E66" i="23" s="1"/>
  <c r="AQ46" i="1"/>
  <c r="DS12" i="2" s="1"/>
  <c r="DS13" i="2" s="1"/>
  <c r="AD48" i="1"/>
  <c r="AQ48" i="1"/>
  <c r="AQ45" i="1"/>
  <c r="DR12" i="2" s="1"/>
  <c r="DR25" i="2" s="1"/>
  <c r="AD49" i="1"/>
  <c r="AD44" i="1"/>
  <c r="AD46" i="1"/>
  <c r="AD45" i="1"/>
  <c r="AQ44" i="1"/>
  <c r="DQ12" i="2" s="1"/>
  <c r="AQ47" i="1"/>
  <c r="DT12" i="2" s="1"/>
  <c r="DT16" i="2" s="1"/>
  <c r="AQ49" i="1"/>
  <c r="AD47" i="1"/>
  <c r="DQ22" i="2" l="1"/>
  <c r="DQ13" i="2"/>
  <c r="C69" i="23"/>
  <c r="E69" i="23" s="1"/>
  <c r="AN44" i="1"/>
  <c r="AP44" i="1"/>
  <c r="AO44" i="1"/>
  <c r="AP49" i="1"/>
  <c r="AN49" i="1"/>
  <c r="AO49" i="1"/>
  <c r="AP47" i="1"/>
  <c r="AO47" i="1"/>
  <c r="AN47" i="1"/>
  <c r="AP45" i="1"/>
  <c r="AN45" i="1"/>
  <c r="AO45" i="1"/>
  <c r="AI48" i="1"/>
  <c r="AN48" i="1"/>
  <c r="AP48" i="1"/>
  <c r="AO48" i="1"/>
  <c r="AP46" i="1"/>
  <c r="AO46" i="1"/>
  <c r="AN46" i="1"/>
  <c r="DS17" i="2"/>
  <c r="DS27" i="2"/>
  <c r="DS14" i="2"/>
  <c r="DS16" i="2"/>
  <c r="DS20" i="2"/>
  <c r="DS18" i="2"/>
  <c r="DS19" i="2"/>
  <c r="DS21" i="2"/>
  <c r="DS22" i="2"/>
  <c r="DS15" i="2"/>
  <c r="DS24" i="2"/>
  <c r="DS25" i="2"/>
  <c r="DS26" i="2"/>
  <c r="DS23" i="2"/>
  <c r="AH48" i="1"/>
  <c r="AJ48" i="1"/>
  <c r="AL48" i="1"/>
  <c r="DR23" i="2"/>
  <c r="AK48" i="1"/>
  <c r="AJ49" i="1"/>
  <c r="AI49" i="1"/>
  <c r="AL49" i="1"/>
  <c r="AH49" i="1"/>
  <c r="AK49" i="1"/>
  <c r="AJ47" i="1"/>
  <c r="AI47" i="1"/>
  <c r="AL47" i="1"/>
  <c r="AH47" i="1"/>
  <c r="AK47" i="1"/>
  <c r="AJ45" i="1"/>
  <c r="AI45" i="1"/>
  <c r="AL45" i="1"/>
  <c r="AH45" i="1"/>
  <c r="AK45" i="1"/>
  <c r="AJ44" i="1"/>
  <c r="AI44" i="1"/>
  <c r="AL44" i="1"/>
  <c r="AH44" i="1"/>
  <c r="AK44" i="1"/>
  <c r="AJ46" i="1"/>
  <c r="AI46" i="1"/>
  <c r="AL46" i="1"/>
  <c r="AH46" i="1"/>
  <c r="AK46" i="1"/>
  <c r="DR24" i="2"/>
  <c r="DR18" i="2"/>
  <c r="DR26" i="2"/>
  <c r="DR27" i="2"/>
  <c r="DR13" i="2"/>
  <c r="DR15" i="2"/>
  <c r="DR16" i="2"/>
  <c r="DR17" i="2"/>
  <c r="DR14" i="2"/>
  <c r="DR19" i="2"/>
  <c r="DR20" i="2"/>
  <c r="DR21" i="2"/>
  <c r="DR22" i="2"/>
  <c r="DQ26" i="2"/>
  <c r="DT23" i="2"/>
  <c r="DQ15" i="2"/>
  <c r="DT17" i="2"/>
  <c r="DT21" i="2"/>
  <c r="DT19" i="2"/>
  <c r="DQ23" i="2"/>
  <c r="DT14" i="2"/>
  <c r="DQ24" i="2"/>
  <c r="DT20" i="2"/>
  <c r="DT18" i="2"/>
  <c r="DQ20" i="2"/>
  <c r="DQ19" i="2"/>
  <c r="DQ25" i="2"/>
  <c r="DQ17" i="2"/>
  <c r="DT24" i="2"/>
  <c r="DT25" i="2"/>
  <c r="DT26" i="2"/>
  <c r="DT27" i="2"/>
  <c r="DQ27" i="2"/>
  <c r="DQ14" i="2"/>
  <c r="DT13" i="2"/>
  <c r="DT22" i="2"/>
  <c r="DT15" i="2"/>
  <c r="DQ16" i="2"/>
  <c r="DQ21" i="2"/>
  <c r="DQ18" i="2"/>
  <c r="DU16" i="2" l="1"/>
  <c r="DU22" i="2"/>
  <c r="DU15" i="2"/>
  <c r="DU18" i="2"/>
  <c r="DU20" i="2"/>
  <c r="DU24" i="2"/>
  <c r="DU21" i="2"/>
  <c r="DU26" i="2"/>
  <c r="DU17" i="2"/>
  <c r="DU23" i="2"/>
  <c r="DU27" i="2"/>
  <c r="DU14" i="2"/>
  <c r="DU25" i="2"/>
  <c r="DU19" i="2"/>
  <c r="DU13" i="2"/>
  <c r="H67" i="1" l="1"/>
  <c r="H79" i="1"/>
  <c r="M81" i="1" s="1"/>
  <c r="R87" i="1" s="1"/>
  <c r="H91" i="1"/>
  <c r="H61" i="1"/>
  <c r="G61" i="1" l="1"/>
  <c r="N58" i="1"/>
  <c r="C45" i="23"/>
  <c r="E45" i="23" s="1"/>
  <c r="C62" i="23"/>
  <c r="E62" i="23" s="1"/>
  <c r="C47" i="23"/>
  <c r="E47" i="23" s="1"/>
  <c r="C49" i="23"/>
  <c r="E49" i="23" s="1"/>
  <c r="C58" i="23"/>
  <c r="E58" i="23" s="1"/>
  <c r="C43" i="23"/>
  <c r="E43" i="23" s="1"/>
  <c r="G79" i="1"/>
  <c r="G91" i="1"/>
  <c r="E41" i="23"/>
  <c r="G67" i="1"/>
  <c r="E56" i="23"/>
  <c r="E60" i="23"/>
  <c r="M58" i="1" l="1"/>
  <c r="C57" i="23"/>
  <c r="E57" i="23" s="1"/>
  <c r="S63" i="1"/>
  <c r="M93" i="1"/>
  <c r="M69" i="1"/>
  <c r="C65" i="23"/>
  <c r="E65" i="23" s="1"/>
  <c r="AC75" i="1" l="1"/>
  <c r="AC94" i="1" s="1"/>
  <c r="C71" i="23" s="1"/>
  <c r="E71" i="23" s="1"/>
  <c r="AC96" i="1"/>
  <c r="C72" i="23" s="1"/>
  <c r="E72" i="23" s="1"/>
  <c r="C64" i="23"/>
  <c r="E64" i="23" s="1"/>
  <c r="R63" i="1"/>
  <c r="R88" i="1"/>
  <c r="AA97" i="1" s="1"/>
  <c r="C67" i="23"/>
  <c r="E67" i="23" s="1"/>
  <c r="R64" i="1"/>
  <c r="AB76" i="1" l="1"/>
  <c r="AA96" i="1"/>
  <c r="AB75" i="1"/>
  <c r="AB90" i="1"/>
  <c r="C70" i="23" s="1"/>
  <c r="E70" i="23" s="1"/>
  <c r="C68" i="23"/>
  <c r="E68" i="23" s="1"/>
  <c r="AA94" i="1" l="1"/>
  <c r="AA95" i="1"/>
</calcChain>
</file>

<file path=xl/comments1.xml><?xml version="1.0" encoding="utf-8"?>
<comments xmlns="http://schemas.openxmlformats.org/spreadsheetml/2006/main">
  <authors>
    <author>Agam PC</author>
  </authors>
  <commentList>
    <comment ref="AC11" authorId="0">
      <text>
        <r>
          <rPr>
            <b/>
            <sz val="9"/>
            <color indexed="81"/>
            <rFont val="Tahoma"/>
            <family val="2"/>
          </rPr>
          <t>Re-type country name in 6 tables below if you found an error or standing has to be decided by UEFA drawing</t>
        </r>
        <r>
          <rPr>
            <sz val="9"/>
            <color indexed="81"/>
            <rFont val="Tahoma"/>
            <family val="2"/>
          </rPr>
          <t xml:space="preserve">
</t>
        </r>
      </text>
    </comment>
  </commentList>
</comments>
</file>

<file path=xl/sharedStrings.xml><?xml version="1.0" encoding="utf-8"?>
<sst xmlns="http://schemas.openxmlformats.org/spreadsheetml/2006/main" count="5570" uniqueCount="4139">
  <si>
    <t>P</t>
  </si>
  <si>
    <t>r musadya</t>
  </si>
  <si>
    <t>Uruguay</t>
  </si>
  <si>
    <t>Argentina</t>
  </si>
  <si>
    <t>England</t>
  </si>
  <si>
    <t>USA</t>
  </si>
  <si>
    <t>Australia</t>
  </si>
  <si>
    <t>Japan</t>
  </si>
  <si>
    <t>Group</t>
  </si>
  <si>
    <t>B</t>
  </si>
  <si>
    <t>C</t>
  </si>
  <si>
    <t>Standings</t>
  </si>
  <si>
    <t>Score</t>
  </si>
  <si>
    <t>Final</t>
  </si>
  <si>
    <t>Visit exceltemplate.net for more templates and updates</t>
  </si>
  <si>
    <t>Date</t>
  </si>
  <si>
    <t>Time</t>
  </si>
  <si>
    <t>Italy</t>
  </si>
  <si>
    <t>France</t>
  </si>
  <si>
    <t>W</t>
  </si>
  <si>
    <t>D</t>
  </si>
  <si>
    <t>L</t>
  </si>
  <si>
    <t>A</t>
  </si>
  <si>
    <t>Country</t>
  </si>
  <si>
    <t>:</t>
  </si>
  <si>
    <t>SOCCER LEAGUE CREATOR</t>
  </si>
  <si>
    <t>This is the template to emulate Italian Serie A,Spanish La Liga, Bundesliga etc. It will allow you to create your own soccer competition or emulate any soccer competition in the world based on common tie-breaker regulation. Download and try the lite version to understand the template.</t>
  </si>
  <si>
    <t>Price</t>
  </si>
  <si>
    <t>Payment Method</t>
  </si>
  <si>
    <t>Excelindo Soccer League Creator Lite (with Fixtures Generator)</t>
  </si>
  <si>
    <t>Free</t>
  </si>
  <si>
    <t>Download</t>
  </si>
  <si>
    <t>Excelindo Soccer League Creator Lite (without Fixtures Generator)</t>
  </si>
  <si>
    <t>Excelindo Soccer League Creator Pro</t>
  </si>
  <si>
    <t>USD 15.99</t>
  </si>
  <si>
    <t>Excelindo Soccer League Creator Pro Password (For layout customization on shown worksheets)</t>
  </si>
  <si>
    <t>USD 5.99</t>
  </si>
  <si>
    <t>SOCCER TOURNAMENT CREATOR</t>
  </si>
  <si>
    <t>This is the template to emulate European Champions League competition. It will allow you to create your own soccer tournament or emulate any soccer tournament in the world based on common tie-breaker regulation. Download and try the lite version to understand the template.</t>
  </si>
  <si>
    <t>Excelindo Soccer Tournament Creator Lite (with Fixtures Generator)</t>
  </si>
  <si>
    <t>Excelindo Soccer Tournament Creator Lite (without Fixtures Generator)</t>
  </si>
  <si>
    <t>Excelindo Soccer Tournament Creator Pro (all shown worksheets are unlocked)</t>
  </si>
  <si>
    <t>USD 20.99</t>
  </si>
  <si>
    <t>USD 8.99</t>
  </si>
  <si>
    <t>-</t>
  </si>
  <si>
    <t>Venue</t>
  </si>
  <si>
    <t>Select text you want to highlight, delete to remove highlight</t>
  </si>
  <si>
    <t>Fiji</t>
  </si>
  <si>
    <t>Tonga</t>
  </si>
  <si>
    <t>Georgia</t>
  </si>
  <si>
    <t>Ireland</t>
  </si>
  <si>
    <t>Canada</t>
  </si>
  <si>
    <t>South Africa</t>
  </si>
  <si>
    <t>Samoa</t>
  </si>
  <si>
    <t>Wales</t>
  </si>
  <si>
    <t>New Zealand</t>
  </si>
  <si>
    <t>Scotland</t>
  </si>
  <si>
    <t>Romania</t>
  </si>
  <si>
    <t>Namibia</t>
  </si>
  <si>
    <t>GS</t>
  </si>
  <si>
    <t>GA</t>
  </si>
  <si>
    <t>Diff</t>
  </si>
  <si>
    <t>Pts</t>
  </si>
  <si>
    <t>rankall points</t>
  </si>
  <si>
    <t>rank 1</t>
  </si>
  <si>
    <t>rank 2</t>
  </si>
  <si>
    <t>rank 3</t>
  </si>
  <si>
    <t>rank 4</t>
  </si>
  <si>
    <t>rerank</t>
  </si>
  <si>
    <t>Team</t>
  </si>
  <si>
    <t>table rank 2</t>
  </si>
  <si>
    <t>R</t>
  </si>
  <si>
    <t>GD</t>
  </si>
  <si>
    <t>FR</t>
  </si>
  <si>
    <t>table rank 3</t>
  </si>
  <si>
    <t>table rank 4</t>
  </si>
  <si>
    <t>SPORT ELIMINATION BRACKET CREATOR</t>
  </si>
  <si>
    <t>SET AND MATCH FIXTURES GENERATOR</t>
  </si>
  <si>
    <t>SOCCER FIXTURES GENERATOR</t>
  </si>
  <si>
    <t>* Price are subject to change without prior notice</t>
  </si>
  <si>
    <t>* There are still plenty of sport templates you can try in our website</t>
  </si>
  <si>
    <t>This is a template to help you generating a soccer league fixture where each team will meet more than once</t>
  </si>
  <si>
    <t>Excelindo Soccer Fixtures Generator Lite</t>
  </si>
  <si>
    <t>Excelindo Soccer Fixtures Generator Pro (all shown worksheets are unlocked)</t>
  </si>
  <si>
    <t>This is a template to organize your elimination tournament. There are single and double elimination bracket templates (all with automatic mapping formula) you can select and apply to your tournament</t>
  </si>
  <si>
    <t xml:space="preserve">This is a template to help you generating a sport league fixture which accommodate best of three/five to decide match winner (tennis, table tennis, volley ball, badminton, etc).  </t>
  </si>
  <si>
    <t>Sport Elimination Bracket Creator Lite</t>
  </si>
  <si>
    <t>Sport Elimination Bracket Creator Pro</t>
  </si>
  <si>
    <t>Set and Match Fixtures Generator Lite</t>
  </si>
  <si>
    <t>Set and Match Fixtures Generator Pro</t>
  </si>
  <si>
    <t>USD 14.99</t>
  </si>
  <si>
    <t>Points</t>
  </si>
  <si>
    <t>UEFA Rank</t>
  </si>
  <si>
    <t>Koef</t>
  </si>
  <si>
    <t>Rule</t>
  </si>
  <si>
    <t>SGS</t>
  </si>
  <si>
    <t>Sdiff</t>
  </si>
  <si>
    <t>Sdif</t>
  </si>
  <si>
    <t>Runner Up</t>
  </si>
  <si>
    <t>1A</t>
  </si>
  <si>
    <t>1B</t>
  </si>
  <si>
    <t>1C</t>
  </si>
  <si>
    <t>1D</t>
  </si>
  <si>
    <t>Four best 3rd-placed teams combination</t>
  </si>
  <si>
    <t>table rank 1- ok</t>
  </si>
  <si>
    <t>Albania</t>
  </si>
  <si>
    <t>Switzerland</t>
  </si>
  <si>
    <t>Russia</t>
  </si>
  <si>
    <t>Slovakia</t>
  </si>
  <si>
    <t>Germany</t>
  </si>
  <si>
    <t>Ukraine</t>
  </si>
  <si>
    <t>Poland</t>
  </si>
  <si>
    <t>Northern Ireland</t>
  </si>
  <si>
    <t>Spain</t>
  </si>
  <si>
    <t>Czech Republic</t>
  </si>
  <si>
    <t>Turkey</t>
  </si>
  <si>
    <t>Croatia</t>
  </si>
  <si>
    <t>Belgium</t>
  </si>
  <si>
    <t>Republic of Ireland</t>
  </si>
  <si>
    <t>Sweden</t>
  </si>
  <si>
    <t>Portugal</t>
  </si>
  <si>
    <t>Iceland</t>
  </si>
  <si>
    <t>Austria</t>
  </si>
  <si>
    <t>Hungary</t>
  </si>
  <si>
    <t>Language</t>
  </si>
  <si>
    <t>Timezone</t>
  </si>
  <si>
    <t>Group Stages</t>
  </si>
  <si>
    <t>Round of 16</t>
  </si>
  <si>
    <t>Quarter Finals</t>
  </si>
  <si>
    <t>Semi Finals</t>
  </si>
  <si>
    <t>Winner</t>
  </si>
  <si>
    <t>Normal Time</t>
  </si>
  <si>
    <t>Extra Time</t>
  </si>
  <si>
    <t>Penalty Shoot Out</t>
  </si>
  <si>
    <t>Champion</t>
  </si>
  <si>
    <t>Match #</t>
  </si>
  <si>
    <t>Group A Winner</t>
  </si>
  <si>
    <t>Group B Winner</t>
  </si>
  <si>
    <t>Group C Winner</t>
  </si>
  <si>
    <t>Group D Winner</t>
  </si>
  <si>
    <t>Group E Winner</t>
  </si>
  <si>
    <t>Group F Winner</t>
  </si>
  <si>
    <t>Group A Runner Up</t>
  </si>
  <si>
    <t>Group B Runner Up</t>
  </si>
  <si>
    <t>Group C Runner Up</t>
  </si>
  <si>
    <t>Group D Runner Up</t>
  </si>
  <si>
    <t>Group E Runner Up</t>
  </si>
  <si>
    <t>Group F Runner Up</t>
  </si>
  <si>
    <t>Win</t>
  </si>
  <si>
    <t>Draw</t>
  </si>
  <si>
    <t>Lose</t>
  </si>
  <si>
    <t>Group A</t>
  </si>
  <si>
    <t>Group B</t>
  </si>
  <si>
    <t>Group C</t>
  </si>
  <si>
    <t>Group D</t>
  </si>
  <si>
    <t>Group E</t>
  </si>
  <si>
    <t>Group F</t>
  </si>
  <si>
    <t>Match 49 Winner</t>
  </si>
  <si>
    <t>Match 50 Winner</t>
  </si>
  <si>
    <t>Match 51 Winner</t>
  </si>
  <si>
    <t>Your Language</t>
  </si>
  <si>
    <t>Addis Ababa</t>
  </si>
  <si>
    <t>Belo Horizonte</t>
  </si>
  <si>
    <t>Adelaide</t>
  </si>
  <si>
    <t>Brasilia</t>
  </si>
  <si>
    <t>Aden</t>
  </si>
  <si>
    <t>Cuiaba</t>
  </si>
  <si>
    <t>Algiers</t>
  </si>
  <si>
    <t>Curitiba</t>
  </si>
  <si>
    <t>Almaty</t>
  </si>
  <si>
    <t>Fortaleza</t>
  </si>
  <si>
    <t>B7</t>
  </si>
  <si>
    <t xml:space="preserve">Amman </t>
  </si>
  <si>
    <t>Manaus</t>
  </si>
  <si>
    <t>B8</t>
  </si>
  <si>
    <t xml:space="preserve">Amsterdam </t>
  </si>
  <si>
    <t>Natal</t>
  </si>
  <si>
    <t>B9</t>
  </si>
  <si>
    <t xml:space="preserve">Anadyr </t>
  </si>
  <si>
    <t>R. Musadya</t>
  </si>
  <si>
    <t>Porto Alegre</t>
  </si>
  <si>
    <t>B10</t>
  </si>
  <si>
    <t xml:space="preserve">Anchorage </t>
  </si>
  <si>
    <t>Recife</t>
  </si>
  <si>
    <t>B11</t>
  </si>
  <si>
    <t xml:space="preserve">Ankara </t>
  </si>
  <si>
    <t>Rio De Janeiro</t>
  </si>
  <si>
    <t>B12</t>
  </si>
  <si>
    <t>Antananarivo</t>
  </si>
  <si>
    <t>Salvador</t>
  </si>
  <si>
    <t>B13</t>
  </si>
  <si>
    <t>Asuncion</t>
  </si>
  <si>
    <t>Sao Paulo</t>
  </si>
  <si>
    <t>B14</t>
  </si>
  <si>
    <t xml:space="preserve">Athens </t>
  </si>
  <si>
    <t>B15</t>
  </si>
  <si>
    <t xml:space="preserve">Atlanta </t>
  </si>
  <si>
    <t>B16</t>
  </si>
  <si>
    <t>Auckland</t>
  </si>
  <si>
    <t>B17</t>
  </si>
  <si>
    <t>Baghdad</t>
  </si>
  <si>
    <t>B18</t>
  </si>
  <si>
    <t>Bangkok</t>
  </si>
  <si>
    <t>B19</t>
  </si>
  <si>
    <t xml:space="preserve">Barcelona </t>
  </si>
  <si>
    <t>B20</t>
  </si>
  <si>
    <t>Beijing</t>
  </si>
  <si>
    <t>B21</t>
  </si>
  <si>
    <t xml:space="preserve">Beirut </t>
  </si>
  <si>
    <t>B22</t>
  </si>
  <si>
    <t xml:space="preserve">Belgrade </t>
  </si>
  <si>
    <t>E</t>
  </si>
  <si>
    <t>B23</t>
  </si>
  <si>
    <t xml:space="preserve">Berlin </t>
  </si>
  <si>
    <t>B24</t>
  </si>
  <si>
    <t>Bogota</t>
  </si>
  <si>
    <t>B25</t>
  </si>
  <si>
    <t xml:space="preserve">Boston </t>
  </si>
  <si>
    <t>B26</t>
  </si>
  <si>
    <t>F</t>
  </si>
  <si>
    <t>B27</t>
  </si>
  <si>
    <t>Brisbane</t>
  </si>
  <si>
    <t>B28</t>
  </si>
  <si>
    <t xml:space="preserve">Brussels </t>
  </si>
  <si>
    <t>B29</t>
  </si>
  <si>
    <t xml:space="preserve">Bucharest </t>
  </si>
  <si>
    <t>B30</t>
  </si>
  <si>
    <t xml:space="preserve">Budapest </t>
  </si>
  <si>
    <t>G</t>
  </si>
  <si>
    <t>Buenos Aires</t>
  </si>
  <si>
    <t>Cairo</t>
  </si>
  <si>
    <t>Canberra</t>
  </si>
  <si>
    <t>Cape Town</t>
  </si>
  <si>
    <t>H</t>
  </si>
  <si>
    <t>Caracas</t>
  </si>
  <si>
    <t>Casablanca</t>
  </si>
  <si>
    <t xml:space="preserve">Chicago </t>
  </si>
  <si>
    <t xml:space="preserve">Copenhagen </t>
  </si>
  <si>
    <t>Darwin</t>
  </si>
  <si>
    <t xml:space="preserve">Denver </t>
  </si>
  <si>
    <t xml:space="preserve">Detroit </t>
  </si>
  <si>
    <t>Dhaka</t>
  </si>
  <si>
    <t>Dubai</t>
  </si>
  <si>
    <t xml:space="preserve">Dublin </t>
  </si>
  <si>
    <t xml:space="preserve">Edmonton </t>
  </si>
  <si>
    <t xml:space="preserve">Frankfurt </t>
  </si>
  <si>
    <t xml:space="preserve">Geneva </t>
  </si>
  <si>
    <t>Guatemala</t>
  </si>
  <si>
    <t xml:space="preserve">Halifax </t>
  </si>
  <si>
    <t>Hanoi</t>
  </si>
  <si>
    <t>Harare</t>
  </si>
  <si>
    <t xml:space="preserve">Havana </t>
  </si>
  <si>
    <t xml:space="preserve">Helsinki </t>
  </si>
  <si>
    <t>Hong Kong</t>
  </si>
  <si>
    <t>Honolulu</t>
  </si>
  <si>
    <t xml:space="preserve">Houston </t>
  </si>
  <si>
    <t xml:space="preserve">Indianapolis </t>
  </si>
  <si>
    <t>Islamabad</t>
  </si>
  <si>
    <t xml:space="preserve">Istanbul </t>
  </si>
  <si>
    <t>Jakarta</t>
  </si>
  <si>
    <t xml:space="preserve">Jerusalem </t>
  </si>
  <si>
    <t>Johannesburg</t>
  </si>
  <si>
    <t>Kabul</t>
  </si>
  <si>
    <t xml:space="preserve">Kamchatka </t>
  </si>
  <si>
    <t>Karachi</t>
  </si>
  <si>
    <t>Khartoum</t>
  </si>
  <si>
    <t>Kingston</t>
  </si>
  <si>
    <t>Kiritimati</t>
  </si>
  <si>
    <t>Kolkata</t>
  </si>
  <si>
    <t>Kuala Lumpur</t>
  </si>
  <si>
    <t>Kuwait City</t>
  </si>
  <si>
    <t xml:space="preserve">Kyiv </t>
  </si>
  <si>
    <t>La Paz</t>
  </si>
  <si>
    <t>Lagos</t>
  </si>
  <si>
    <t>Lahore</t>
  </si>
  <si>
    <t>Lima</t>
  </si>
  <si>
    <t xml:space="preserve">Lisbon </t>
  </si>
  <si>
    <t xml:space="preserve">London </t>
  </si>
  <si>
    <t xml:space="preserve">Los Angeles </t>
  </si>
  <si>
    <t xml:space="preserve">Madrid </t>
  </si>
  <si>
    <t>Managua</t>
  </si>
  <si>
    <t>Manila</t>
  </si>
  <si>
    <t>Melbourne</t>
  </si>
  <si>
    <t xml:space="preserve">Mexico City </t>
  </si>
  <si>
    <t xml:space="preserve">Miami </t>
  </si>
  <si>
    <t xml:space="preserve">Minneapolis </t>
  </si>
  <si>
    <t xml:space="preserve">Minsk </t>
  </si>
  <si>
    <t>Montevideo</t>
  </si>
  <si>
    <t xml:space="preserve">Montgomery </t>
  </si>
  <si>
    <t xml:space="preserve">Montreal </t>
  </si>
  <si>
    <t xml:space="preserve">Moscow </t>
  </si>
  <si>
    <t>Mumbai</t>
  </si>
  <si>
    <t>Nairobi</t>
  </si>
  <si>
    <t xml:space="preserve">Nassau </t>
  </si>
  <si>
    <t>New Delhi</t>
  </si>
  <si>
    <t xml:space="preserve">New Orleans </t>
  </si>
  <si>
    <t xml:space="preserve">New York </t>
  </si>
  <si>
    <t xml:space="preserve">Oslo </t>
  </si>
  <si>
    <t xml:space="preserve">Ottawa </t>
  </si>
  <si>
    <t xml:space="preserve">Paris </t>
  </si>
  <si>
    <t>Perth</t>
  </si>
  <si>
    <t xml:space="preserve">Philadelphia </t>
  </si>
  <si>
    <t>Phoenix</t>
  </si>
  <si>
    <t xml:space="preserve">Prague </t>
  </si>
  <si>
    <t>Reykjavik</t>
  </si>
  <si>
    <t>Rio de Janeiro</t>
  </si>
  <si>
    <t>Riyadh</t>
  </si>
  <si>
    <t xml:space="preserve">Rome </t>
  </si>
  <si>
    <t xml:space="preserve">San Francisco </t>
  </si>
  <si>
    <t>San Juan</t>
  </si>
  <si>
    <t>San Salvador</t>
  </si>
  <si>
    <t>Santiago</t>
  </si>
  <si>
    <t>Santo Domingo</t>
  </si>
  <si>
    <t xml:space="preserve">Seattle </t>
  </si>
  <si>
    <t>Seoul</t>
  </si>
  <si>
    <t>Shanghai</t>
  </si>
  <si>
    <t>Singapore</t>
  </si>
  <si>
    <t xml:space="preserve">Sofia </t>
  </si>
  <si>
    <t xml:space="preserve">St. John's </t>
  </si>
  <si>
    <t xml:space="preserve">St. Paul </t>
  </si>
  <si>
    <t xml:space="preserve">Stockholm </t>
  </si>
  <si>
    <t>Suva</t>
  </si>
  <si>
    <t>Sydney</t>
  </si>
  <si>
    <t>Taipei</t>
  </si>
  <si>
    <t xml:space="preserve">Tallinn </t>
  </si>
  <si>
    <t>Tashkent</t>
  </si>
  <si>
    <t>Tegucigalpa</t>
  </si>
  <si>
    <t xml:space="preserve">Tehran </t>
  </si>
  <si>
    <t>Tokyo</t>
  </si>
  <si>
    <t xml:space="preserve">Toronto </t>
  </si>
  <si>
    <t xml:space="preserve">Vancouver </t>
  </si>
  <si>
    <t xml:space="preserve">Vienna </t>
  </si>
  <si>
    <t xml:space="preserve">Vladivostok </t>
  </si>
  <si>
    <t xml:space="preserve">Warsaw </t>
  </si>
  <si>
    <t xml:space="preserve">Washington DC </t>
  </si>
  <si>
    <t>Yangon</t>
  </si>
  <si>
    <t xml:space="preserve">Zagreb </t>
  </si>
  <si>
    <t xml:space="preserve">Zürich </t>
  </si>
  <si>
    <t>Country Language</t>
  </si>
  <si>
    <t>Dutch</t>
  </si>
  <si>
    <t>English</t>
  </si>
  <si>
    <t>French</t>
  </si>
  <si>
    <t>German/Deutsch</t>
  </si>
  <si>
    <t>Italian</t>
  </si>
  <si>
    <t>Spanish</t>
  </si>
  <si>
    <t>Kroatië</t>
  </si>
  <si>
    <t>Croatie</t>
  </si>
  <si>
    <t>Kroatien</t>
  </si>
  <si>
    <t>Croazia</t>
  </si>
  <si>
    <t>Croacia</t>
  </si>
  <si>
    <t>Spanje</t>
  </si>
  <si>
    <t>Spanien</t>
  </si>
  <si>
    <t>Spagna</t>
  </si>
  <si>
    <t>España</t>
  </si>
  <si>
    <t>Engeland</t>
  </si>
  <si>
    <t>Angleterre</t>
  </si>
  <si>
    <t>Inghilterra</t>
  </si>
  <si>
    <t>Inglaterra</t>
  </si>
  <si>
    <t>Italië</t>
  </si>
  <si>
    <t>Italie</t>
  </si>
  <si>
    <t>Italien</t>
  </si>
  <si>
    <t>Italia</t>
  </si>
  <si>
    <t>Zwitserland</t>
  </si>
  <si>
    <t>Suisse</t>
  </si>
  <si>
    <t>Schweiz</t>
  </si>
  <si>
    <t>Svizzera</t>
  </si>
  <si>
    <t>Suiza</t>
  </si>
  <si>
    <t>Frankrijk</t>
  </si>
  <si>
    <t>Frankreich</t>
  </si>
  <si>
    <t>Francia</t>
  </si>
  <si>
    <t>Taal</t>
  </si>
  <si>
    <t>Langue</t>
  </si>
  <si>
    <t>Sprache</t>
  </si>
  <si>
    <t>Idioma</t>
  </si>
  <si>
    <t>Tijdzone</t>
  </si>
  <si>
    <t>Fuseau horaire</t>
  </si>
  <si>
    <t>Zeitzone</t>
  </si>
  <si>
    <t>Fuso orario</t>
  </si>
  <si>
    <t>Gruppenphase</t>
  </si>
  <si>
    <t>Fase de grupos</t>
  </si>
  <si>
    <t>Stand</t>
  </si>
  <si>
    <t>Classements</t>
  </si>
  <si>
    <t>Groep</t>
  </si>
  <si>
    <t>Groupe</t>
  </si>
  <si>
    <t>Gruppe</t>
  </si>
  <si>
    <t>Gruppo</t>
  </si>
  <si>
    <t>Grupo</t>
  </si>
  <si>
    <t>Datum</t>
  </si>
  <si>
    <t>Data</t>
  </si>
  <si>
    <t>Fecha</t>
  </si>
  <si>
    <t>Land</t>
  </si>
  <si>
    <t>Pays</t>
  </si>
  <si>
    <t>Nazione</t>
  </si>
  <si>
    <t>País</t>
  </si>
  <si>
    <t>Ergebnis</t>
  </si>
  <si>
    <t>Tijd</t>
  </si>
  <si>
    <t>Ora</t>
  </si>
  <si>
    <t>Hora</t>
  </si>
  <si>
    <t>Kwartfinales</t>
  </si>
  <si>
    <t>Quarts de finale</t>
  </si>
  <si>
    <t>Quarti di finale</t>
  </si>
  <si>
    <t>Cuartos de final</t>
  </si>
  <si>
    <t>Demi-finales</t>
  </si>
  <si>
    <t>Semifinale</t>
  </si>
  <si>
    <t>Semifinales</t>
  </si>
  <si>
    <t>Finale</t>
  </si>
  <si>
    <t>Winnaar</t>
  </si>
  <si>
    <t>Gagnant</t>
  </si>
  <si>
    <t>Vincitore</t>
  </si>
  <si>
    <t>Ganador</t>
  </si>
  <si>
    <t>Subcampeón</t>
  </si>
  <si>
    <t>Elfmeterschießen</t>
  </si>
  <si>
    <t>Kampioen</t>
  </si>
  <si>
    <t>Campione</t>
  </si>
  <si>
    <t>Campeón</t>
  </si>
  <si>
    <t>Wedstrijd #</t>
  </si>
  <si>
    <t>Spiel #</t>
  </si>
  <si>
    <t>Groep A Winnaar</t>
  </si>
  <si>
    <t>Groep B Winnaar</t>
  </si>
  <si>
    <t>Groep C Winnaar</t>
  </si>
  <si>
    <t>Groupe C Vainqueur</t>
  </si>
  <si>
    <t>Groep D Winnaar</t>
  </si>
  <si>
    <t>Groupe D Vainqueur</t>
  </si>
  <si>
    <t>Groep E Winnaar</t>
  </si>
  <si>
    <t>Groep F Winnaar</t>
  </si>
  <si>
    <t>Groupe F Vainqueur</t>
  </si>
  <si>
    <t>Bezoek exceltemplate.net voor meer voorbeelden en updates</t>
  </si>
  <si>
    <t>Pts Rank</t>
  </si>
  <si>
    <t>GD Rank</t>
  </si>
  <si>
    <t>GS Rank</t>
  </si>
  <si>
    <t>Koef Rank</t>
  </si>
  <si>
    <t>tinggal lookup utk rank 3</t>
  </si>
  <si>
    <t>Stade de France, Saint-Denis</t>
  </si>
  <si>
    <t>Stade Bollaert-Delelis, Lens Agglo</t>
  </si>
  <si>
    <t>Stade de Bordeaux, Bordeaus</t>
  </si>
  <si>
    <t>Stade Velodrome, Marseille</t>
  </si>
  <si>
    <t>Parc des Princes, Paris</t>
  </si>
  <si>
    <t>Stade de Nice, Nice</t>
  </si>
  <si>
    <t>Stade Pierre Mauroy, Lille Metropole</t>
  </si>
  <si>
    <t>Stadium de Toulouse, Toulouse</t>
  </si>
  <si>
    <t>Stade de Lyon, Lyon</t>
  </si>
  <si>
    <t>Stade Geoffroy Guichard, Saint-Etienne</t>
  </si>
  <si>
    <t>Stade de Bordeaux, Bordeaux</t>
  </si>
  <si>
    <t>Euro 2016 Schedule and Scoresheet</t>
  </si>
  <si>
    <t>+/-</t>
  </si>
  <si>
    <t>For</t>
  </si>
  <si>
    <t>Against</t>
  </si>
  <si>
    <t>Group B/E/F 3rd Place</t>
  </si>
  <si>
    <t>Group A/C/D 3rd Place</t>
  </si>
  <si>
    <t>Group A/B/F 3rd Place</t>
  </si>
  <si>
    <t>Group C/D/E 3rd Place</t>
  </si>
  <si>
    <t>Match 37 Winner</t>
  </si>
  <si>
    <t>Match 38 Winner</t>
  </si>
  <si>
    <t>Match 39 Winner</t>
  </si>
  <si>
    <t>Match 40 Winner</t>
  </si>
  <si>
    <t>Match 41 Winner</t>
  </si>
  <si>
    <t>Match 42 Winner</t>
  </si>
  <si>
    <t>Match 43 Winner</t>
  </si>
  <si>
    <t>Match 44 Winner</t>
  </si>
  <si>
    <t>Match 45 Winner</t>
  </si>
  <si>
    <t>Match 46 Winner</t>
  </si>
  <si>
    <t>Match 47 Winner</t>
  </si>
  <si>
    <t>Match 48 Winner</t>
  </si>
  <si>
    <t>Knock Out Rounds</t>
  </si>
  <si>
    <t>Group A-F 3rd Place Standings</t>
  </si>
  <si>
    <t>Afrikaans</t>
  </si>
  <si>
    <t>Albanian</t>
  </si>
  <si>
    <t>Arabic</t>
  </si>
  <si>
    <t>Bulgarian</t>
  </si>
  <si>
    <t>Catalan</t>
  </si>
  <si>
    <t>Chinese (Simplified)</t>
  </si>
  <si>
    <t>Chinese (Traditional)</t>
  </si>
  <si>
    <t>Croatian</t>
  </si>
  <si>
    <t>Danish</t>
  </si>
  <si>
    <t>Finnish</t>
  </si>
  <si>
    <t>Georgian</t>
  </si>
  <si>
    <t>Greek</t>
  </si>
  <si>
    <t>Hebrew</t>
  </si>
  <si>
    <t>Hungarian</t>
  </si>
  <si>
    <t>Indonesian</t>
  </si>
  <si>
    <t>Icelandic</t>
  </si>
  <si>
    <t>Japanese</t>
  </si>
  <si>
    <t>Korean</t>
  </si>
  <si>
    <t>Lithuanian</t>
  </si>
  <si>
    <t>Macedonian</t>
  </si>
  <si>
    <t>Malay</t>
  </si>
  <si>
    <t>Maltese</t>
  </si>
  <si>
    <t>Mongolian</t>
  </si>
  <si>
    <t>Norway</t>
  </si>
  <si>
    <t>Persian</t>
  </si>
  <si>
    <t>Polish</t>
  </si>
  <si>
    <t>Romanian</t>
  </si>
  <si>
    <t>Russian</t>
  </si>
  <si>
    <t>Serbian</t>
  </si>
  <si>
    <t>Slovak</t>
  </si>
  <si>
    <t>Slovenian</t>
  </si>
  <si>
    <t>Swedish</t>
  </si>
  <si>
    <t>Thai</t>
  </si>
  <si>
    <t>Turkish</t>
  </si>
  <si>
    <t>Ukrainian</t>
  </si>
  <si>
    <t>Vietnamese</t>
  </si>
  <si>
    <t>Frankryk</t>
  </si>
  <si>
    <t>Roemenië</t>
  </si>
  <si>
    <t>Albanië</t>
  </si>
  <si>
    <t>Switserland</t>
  </si>
  <si>
    <t>Rusland</t>
  </si>
  <si>
    <t>Wallis</t>
  </si>
  <si>
    <t>Slowakye</t>
  </si>
  <si>
    <t>Duitsland</t>
  </si>
  <si>
    <t>Oekraïne</t>
  </si>
  <si>
    <t>Pole</t>
  </si>
  <si>
    <t>Noord-Ierland</t>
  </si>
  <si>
    <t>Tsjeggiese Republiek</t>
  </si>
  <si>
    <t>Turkye</t>
  </si>
  <si>
    <t>Kroasië</t>
  </si>
  <si>
    <t>België</t>
  </si>
  <si>
    <t>Republiek van Ierland</t>
  </si>
  <si>
    <t>Swede</t>
  </si>
  <si>
    <t>Ysland</t>
  </si>
  <si>
    <t>Oostenryk</t>
  </si>
  <si>
    <t>Hongarye</t>
  </si>
  <si>
    <t>Tydsone</t>
  </si>
  <si>
    <t>Groepwedstryde</t>
  </si>
  <si>
    <t>Lokaal</t>
  </si>
  <si>
    <t>Puntestand</t>
  </si>
  <si>
    <t>Telling</t>
  </si>
  <si>
    <t>Tyd</t>
  </si>
  <si>
    <t>Ronde van 16</t>
  </si>
  <si>
    <t>Finals kwartaal</t>
  </si>
  <si>
    <t>Halfeindstryd</t>
  </si>
  <si>
    <t>Wenner</t>
  </si>
  <si>
    <t>Opvolger</t>
  </si>
  <si>
    <t>Normale Tyd</t>
  </si>
  <si>
    <t>Ekstra tyd</t>
  </si>
  <si>
    <t>Straf skiet uit</t>
  </si>
  <si>
    <t>Groep A Winner</t>
  </si>
  <si>
    <t>Groep B Winner</t>
  </si>
  <si>
    <t>Groep C Winner</t>
  </si>
  <si>
    <t>Groep D Winner</t>
  </si>
  <si>
    <t>Groep E Winner</t>
  </si>
  <si>
    <t>Groep F Winner</t>
  </si>
  <si>
    <t>Groep A Runner Up</t>
  </si>
  <si>
    <t>Groep B Runner Up</t>
  </si>
  <si>
    <t>Groep C Runner Up</t>
  </si>
  <si>
    <t>Groep D Runner Up</t>
  </si>
  <si>
    <t>Groep E Runner Up</t>
  </si>
  <si>
    <t>Groep F Runner Up</t>
  </si>
  <si>
    <t>Wedstryd 37 Winner</t>
  </si>
  <si>
    <t>Wedstryd 38 Winner</t>
  </si>
  <si>
    <t>Wedstryd 39 Winner</t>
  </si>
  <si>
    <t>Wedstryd 40 Winner</t>
  </si>
  <si>
    <t>Wedstryd 41 Winner</t>
  </si>
  <si>
    <t>Wedstryd 42 Winner</t>
  </si>
  <si>
    <t>Wedstryd 43 Winner</t>
  </si>
  <si>
    <t>Wedstryd 44 Winner</t>
  </si>
  <si>
    <t>Wedstryd 45 Winner</t>
  </si>
  <si>
    <t>Wedstryd 46 Winner</t>
  </si>
  <si>
    <t>Wedstryd 47 Winner</t>
  </si>
  <si>
    <t>Wedstryd 48 Winner</t>
  </si>
  <si>
    <t>Wedstryd 49 Winner</t>
  </si>
  <si>
    <t>Wedstryd 50 Winner</t>
  </si>
  <si>
    <t>Wedstryd 51 Winner</t>
  </si>
  <si>
    <t>Besoek exceltemplate.net vir meer voorbeelde en updates</t>
  </si>
  <si>
    <t>Euro 2016 Bylae en telkaart</t>
  </si>
  <si>
    <t>Kies teks wat jy wil uitlig, verwyder om 'n hoogtepunt te verwyder</t>
  </si>
  <si>
    <t>Groep A</t>
  </si>
  <si>
    <t>Groep B</t>
  </si>
  <si>
    <t>Groep C</t>
  </si>
  <si>
    <t>Groep D</t>
  </si>
  <si>
    <t>Groep E</t>
  </si>
  <si>
    <t>Groep F</t>
  </si>
  <si>
    <t>Wen</t>
  </si>
  <si>
    <t>Teken</t>
  </si>
  <si>
    <t>Verloor</t>
  </si>
  <si>
    <t>Vir</t>
  </si>
  <si>
    <t>Teen</t>
  </si>
  <si>
    <t>Punte</t>
  </si>
  <si>
    <t>Klop Rondes</t>
  </si>
  <si>
    <t>Groep B / E / F Derde plek</t>
  </si>
  <si>
    <t>Groep A / C / D Derde plek</t>
  </si>
  <si>
    <t>Groep A / B / F Derde plek</t>
  </si>
  <si>
    <t>Groep C / D / E Derde plek</t>
  </si>
  <si>
    <t>Groep A-F Derde plek Standen</t>
  </si>
  <si>
    <t>Francë</t>
  </si>
  <si>
    <t>Rumani</t>
  </si>
  <si>
    <t>Shqipëri</t>
  </si>
  <si>
    <t>Zvicra</t>
  </si>
  <si>
    <t>Angli</t>
  </si>
  <si>
    <t>Rusi</t>
  </si>
  <si>
    <t>Uells</t>
  </si>
  <si>
    <t>Sllovakia</t>
  </si>
  <si>
    <t>Gjermani</t>
  </si>
  <si>
    <t>Ukrainë</t>
  </si>
  <si>
    <t>Poloni</t>
  </si>
  <si>
    <t>Irlanada veriore</t>
  </si>
  <si>
    <t>Spanjë</t>
  </si>
  <si>
    <t>Republika Çeke</t>
  </si>
  <si>
    <t>Turqi</t>
  </si>
  <si>
    <t>Kroacia</t>
  </si>
  <si>
    <t>Belgjikë</t>
  </si>
  <si>
    <t>Itali</t>
  </si>
  <si>
    <t>Republika e Irlandës</t>
  </si>
  <si>
    <t>Suedi</t>
  </si>
  <si>
    <t>Portugali</t>
  </si>
  <si>
    <t>Islandë</t>
  </si>
  <si>
    <t>Austri</t>
  </si>
  <si>
    <t>Hungari</t>
  </si>
  <si>
    <t>Gjuhë</t>
  </si>
  <si>
    <t>Fazat e grupit</t>
  </si>
  <si>
    <t>Vendgjarje</t>
  </si>
  <si>
    <t>Renditja</t>
  </si>
  <si>
    <t>Grup</t>
  </si>
  <si>
    <t>Vend</t>
  </si>
  <si>
    <t>Rezultat</t>
  </si>
  <si>
    <t>Kohë</t>
  </si>
  <si>
    <t>Raundi i 16</t>
  </si>
  <si>
    <t>Çerekfinale</t>
  </si>
  <si>
    <t>Gjysmëfinale</t>
  </si>
  <si>
    <t>Përfundimtar</t>
  </si>
  <si>
    <t>Fitues</t>
  </si>
  <si>
    <t>Kandiduesi</t>
  </si>
  <si>
    <t>Koha normale</t>
  </si>
  <si>
    <t>Koha shtesë</t>
  </si>
  <si>
    <t>Dënimi Shoot Out</t>
  </si>
  <si>
    <t>Kampion</t>
  </si>
  <si>
    <t>Ndeshje #</t>
  </si>
  <si>
    <t>Grupi A Fituesi</t>
  </si>
  <si>
    <t>Grupi B Fituesi</t>
  </si>
  <si>
    <t>Grupi C Fituesi</t>
  </si>
  <si>
    <t>Grupi D Fituesi</t>
  </si>
  <si>
    <t>Grupi E Fituesi</t>
  </si>
  <si>
    <t>Grupi F Fituesi</t>
  </si>
  <si>
    <t>Grupi A Runner Up</t>
  </si>
  <si>
    <t>Grupi B Runner Up</t>
  </si>
  <si>
    <t>Grupi C Runner Up</t>
  </si>
  <si>
    <t>Grupi D Runner Up</t>
  </si>
  <si>
    <t>Grupi E Runner Up</t>
  </si>
  <si>
    <t>Grupi F Runner Up</t>
  </si>
  <si>
    <t>Ndeshje 37 Fituesi</t>
  </si>
  <si>
    <t>Ndeshje 38 Fituesi</t>
  </si>
  <si>
    <t>Ndeshje 39 Fituesi</t>
  </si>
  <si>
    <t>Ndeshje 40 Fituesi</t>
  </si>
  <si>
    <t>Ndeshje 41 Fituesi</t>
  </si>
  <si>
    <t>Ndeshje 42 Fituesi</t>
  </si>
  <si>
    <t>Ndeshje 43 Fituesi</t>
  </si>
  <si>
    <t>Ndeshje 44 Fituesi</t>
  </si>
  <si>
    <t>Ndeshje 45 Fituesi</t>
  </si>
  <si>
    <t>Ndeshje 46 Fituesi</t>
  </si>
  <si>
    <t>Ndeshje 47 Fituesi</t>
  </si>
  <si>
    <t>Ndeshje 48 Fituesi</t>
  </si>
  <si>
    <t>Ndeshje 49 Fituesi</t>
  </si>
  <si>
    <t>Ndeshje 50 Fituesi</t>
  </si>
  <si>
    <t>Ndeshje 51 Fituesi</t>
  </si>
  <si>
    <t>Vizitoni exceltemplate.net për më shumë templates dhe përditësime</t>
  </si>
  <si>
    <t>Euro 2016 Orari dhe Vota Sheet</t>
  </si>
  <si>
    <t>Zgjidhni tekstin që dëshironi të theksoni, fshirë për të hequr nxjerrë në pah</t>
  </si>
  <si>
    <t>Grupi A</t>
  </si>
  <si>
    <t>Grupi B</t>
  </si>
  <si>
    <t>Grupi C</t>
  </si>
  <si>
    <t>Grupi D</t>
  </si>
  <si>
    <t>Grupi E</t>
  </si>
  <si>
    <t>Grupi F</t>
  </si>
  <si>
    <t>Fitore</t>
  </si>
  <si>
    <t>Barazim</t>
  </si>
  <si>
    <t>Humb</t>
  </si>
  <si>
    <t>Për</t>
  </si>
  <si>
    <t>Kundër</t>
  </si>
  <si>
    <t>Pikë</t>
  </si>
  <si>
    <t>Grupi B / E / F Vendi i Tretë</t>
  </si>
  <si>
    <t>Grupi A / C / D Vendi i Tretë</t>
  </si>
  <si>
    <t>Grupi A / B / F Vendi i Tretë</t>
  </si>
  <si>
    <t>Grupi C / D / E Vendi i tretë</t>
  </si>
  <si>
    <t>Grupi A-F Vendi i Tretë Standings</t>
  </si>
  <si>
    <t>فرنسا</t>
  </si>
  <si>
    <t>رومانيا</t>
  </si>
  <si>
    <t>ألبانيا</t>
  </si>
  <si>
    <t>سويسرا</t>
  </si>
  <si>
    <t>إنكلترا</t>
  </si>
  <si>
    <t>روسيا</t>
  </si>
  <si>
    <t>ويلز</t>
  </si>
  <si>
    <t>سلوفاكيا</t>
  </si>
  <si>
    <t>ألمانيا</t>
  </si>
  <si>
    <t>أوكرانيا</t>
  </si>
  <si>
    <t>بولندا</t>
  </si>
  <si>
    <t>إيرلندا الشمالية</t>
  </si>
  <si>
    <t>إسبانيا</t>
  </si>
  <si>
    <t>جمهورية التشيك</t>
  </si>
  <si>
    <t>ديك رومي</t>
  </si>
  <si>
    <t>كرواتيا</t>
  </si>
  <si>
    <t>بلجيكا</t>
  </si>
  <si>
    <t>إيطاليا</t>
  </si>
  <si>
    <t>جمهورية ايرلندا</t>
  </si>
  <si>
    <t>السويد</t>
  </si>
  <si>
    <t>البرتغال</t>
  </si>
  <si>
    <t>أيسلندا</t>
  </si>
  <si>
    <t>النمسا</t>
  </si>
  <si>
    <t>هنغاريا</t>
  </si>
  <si>
    <t>لغة</t>
  </si>
  <si>
    <t>حسب توقيت</t>
  </si>
  <si>
    <t>مرحلة المجموعات</t>
  </si>
  <si>
    <t>مكان</t>
  </si>
  <si>
    <t>الترتيب</t>
  </si>
  <si>
    <t>مجموعة</t>
  </si>
  <si>
    <t>التاريخ</t>
  </si>
  <si>
    <t>بلد</t>
  </si>
  <si>
    <t>أحرز هدفاً</t>
  </si>
  <si>
    <t>مرة</t>
  </si>
  <si>
    <t>دور ال 16</t>
  </si>
  <si>
    <t>الدور ربع النهائي</t>
  </si>
  <si>
    <t>نصف النهائي</t>
  </si>
  <si>
    <t>نهائي</t>
  </si>
  <si>
    <t>الفائز</t>
  </si>
  <si>
    <t>المركز الثاني</t>
  </si>
  <si>
    <t>الوقت العادي</t>
  </si>
  <si>
    <t>وقت إضافي</t>
  </si>
  <si>
    <t>ركلات الترجيح</t>
  </si>
  <si>
    <t>بطل</t>
  </si>
  <si>
    <t>مباراة #</t>
  </si>
  <si>
    <t>المجموعة (أ) الفائز</t>
  </si>
  <si>
    <t>المجموعة B الفائز</t>
  </si>
  <si>
    <t>المجموعة C الفائز</t>
  </si>
  <si>
    <t>مجموعة D الفائز</t>
  </si>
  <si>
    <t>المجموعة E الفائز</t>
  </si>
  <si>
    <t>المجموعة F الفائز</t>
  </si>
  <si>
    <t>المجموعة A الوصيف</t>
  </si>
  <si>
    <t>المجموعة B الوصيف</t>
  </si>
  <si>
    <t>المجموعة C الوصيف</t>
  </si>
  <si>
    <t>مجموعة D الوصيف</t>
  </si>
  <si>
    <t>المجموعة E الوصيف</t>
  </si>
  <si>
    <t>المجموعة F الوصيف</t>
  </si>
  <si>
    <t>المباراة 37 الفائز</t>
  </si>
  <si>
    <t>المباراة 38 الفائز</t>
  </si>
  <si>
    <t>المباراة 39 الفائز</t>
  </si>
  <si>
    <t>المباراة 40 الفائز</t>
  </si>
  <si>
    <t>المباراة 41 الفائز</t>
  </si>
  <si>
    <t>المباراة 42 الفائز</t>
  </si>
  <si>
    <t>المباراة 43 الفائز</t>
  </si>
  <si>
    <t>المباراة 44 الفائز</t>
  </si>
  <si>
    <t>المباراة 45 الفائز</t>
  </si>
  <si>
    <t>المباراة 46 الفائز</t>
  </si>
  <si>
    <t>المباراة 47 الفائز</t>
  </si>
  <si>
    <t>المباراة 48 الفائز</t>
  </si>
  <si>
    <t>المباراة 49 الفائز</t>
  </si>
  <si>
    <t>المباراة 50 الفائز</t>
  </si>
  <si>
    <t>المباراة 51 الفائز</t>
  </si>
  <si>
    <t>زيارة exceltemplate.net لمزيد من القوالب والتحديثات</t>
  </si>
  <si>
    <t>اليورو 2016 الجدول الزمني ونقاط ورقة</t>
  </si>
  <si>
    <t>حدد النص الذي تريد تسليط الضوء، وحذف لإزالة تسليط الضوء</t>
  </si>
  <si>
    <t>المجموعة A</t>
  </si>
  <si>
    <t>المجموعة B</t>
  </si>
  <si>
    <t>المجموعة C</t>
  </si>
  <si>
    <t>المجموعة D</t>
  </si>
  <si>
    <t>المجموعة E</t>
  </si>
  <si>
    <t>المجموعة F</t>
  </si>
  <si>
    <t>انتصر</t>
  </si>
  <si>
    <t>تعادل</t>
  </si>
  <si>
    <t>تخسر</t>
  </si>
  <si>
    <t>ل</t>
  </si>
  <si>
    <t>ضد</t>
  </si>
  <si>
    <t>نقاط</t>
  </si>
  <si>
    <t>خروج المغلوب جولات</t>
  </si>
  <si>
    <t>المجموعة B / E / F المركز الثالث</t>
  </si>
  <si>
    <t>المجموعة A / C / D المركز الثالث</t>
  </si>
  <si>
    <t>المجموعة A / B / F المركز الثالث</t>
  </si>
  <si>
    <t>المجموعة C / D / E المركز الثالث</t>
  </si>
  <si>
    <t>المجموعة A-F المركز الثالث الترتيب</t>
  </si>
  <si>
    <t>Франция</t>
  </si>
  <si>
    <t>Румъния</t>
  </si>
  <si>
    <t>Албания</t>
  </si>
  <si>
    <t>Швейцария</t>
  </si>
  <si>
    <t>Англия</t>
  </si>
  <si>
    <t>Русия</t>
  </si>
  <si>
    <t>Уелс</t>
  </si>
  <si>
    <t>Словакия</t>
  </si>
  <si>
    <t>Германия</t>
  </si>
  <si>
    <t>Украйна</t>
  </si>
  <si>
    <t>Полша</t>
  </si>
  <si>
    <t>Северна Ирландия</t>
  </si>
  <si>
    <t>Испания</t>
  </si>
  <si>
    <t>Чехия</t>
  </si>
  <si>
    <t>Турция</t>
  </si>
  <si>
    <t>Хърватия</t>
  </si>
  <si>
    <t>Белгия</t>
  </si>
  <si>
    <t>Италия</t>
  </si>
  <si>
    <t>Република Ирландия</t>
  </si>
  <si>
    <t>Швеция</t>
  </si>
  <si>
    <t>Португалия</t>
  </si>
  <si>
    <t>Исландия</t>
  </si>
  <si>
    <t>Австрия</t>
  </si>
  <si>
    <t>Унгария</t>
  </si>
  <si>
    <t>Език</t>
  </si>
  <si>
    <t>Часова зона</t>
  </si>
  <si>
    <t>Група Етапи</t>
  </si>
  <si>
    <t>Място на провеждане</t>
  </si>
  <si>
    <t>Класиране</t>
  </si>
  <si>
    <t>Група</t>
  </si>
  <si>
    <t>Дата</t>
  </si>
  <si>
    <t>Страна</t>
  </si>
  <si>
    <t>Резултат</t>
  </si>
  <si>
    <t>Време</t>
  </si>
  <si>
    <t>Кръгла от 16</t>
  </si>
  <si>
    <t>Четвъртфиналите</t>
  </si>
  <si>
    <t>Полуфиналите</t>
  </si>
  <si>
    <t>Окончателен</t>
  </si>
  <si>
    <t>Победител</t>
  </si>
  <si>
    <t>Второ място</t>
  </si>
  <si>
    <t>Допълнително време</t>
  </si>
  <si>
    <t>Наказание дузпи</t>
  </si>
  <si>
    <t>Шампион</t>
  </si>
  <si>
    <t>Съвпадение #</t>
  </si>
  <si>
    <t>Група A Winner</t>
  </si>
  <si>
    <t>Група B Winner</t>
  </si>
  <si>
    <t>Група C Winner</t>
  </si>
  <si>
    <t>Група D Winner</t>
  </si>
  <si>
    <t>Група E Winner</t>
  </si>
  <si>
    <t>Група F Winner</t>
  </si>
  <si>
    <t>Група A Runner Up</t>
  </si>
  <si>
    <t>Група B Runner Up</t>
  </si>
  <si>
    <t>Група C Runner Up</t>
  </si>
  <si>
    <t>Група D Runner Up</t>
  </si>
  <si>
    <t>Група E Runner Up</t>
  </si>
  <si>
    <t>Група F Runner Up</t>
  </si>
  <si>
    <t>Match Winner 37</t>
  </si>
  <si>
    <t>Match Winner 38</t>
  </si>
  <si>
    <t>Match Winner 39</t>
  </si>
  <si>
    <t>Match Winner 40</t>
  </si>
  <si>
    <t>Match Winner 41</t>
  </si>
  <si>
    <t>Match Winner 42</t>
  </si>
  <si>
    <t>Match Winner 43</t>
  </si>
  <si>
    <t>Match Winner 44</t>
  </si>
  <si>
    <t>Match Winner 45</t>
  </si>
  <si>
    <t>Match Winner 46</t>
  </si>
  <si>
    <t>Match Winner 47</t>
  </si>
  <si>
    <t>Match Winner 48</t>
  </si>
  <si>
    <t>Match Winner 49</t>
  </si>
  <si>
    <t>Match Winner 50</t>
  </si>
  <si>
    <t>Match Winner 51</t>
  </si>
  <si>
    <t>Посетете exceltemplate.net за повече шаблони и актуализации</t>
  </si>
  <si>
    <t>Euro 2016 График и Резултат Sheet</t>
  </si>
  <si>
    <t>Изберете текста, който искате да маркирате, изтриване, за да премахнете маркирайте</t>
  </si>
  <si>
    <t>Група А</t>
  </si>
  <si>
    <t>Група B</t>
  </si>
  <si>
    <t>Група C</t>
  </si>
  <si>
    <t>Група D</t>
  </si>
  <si>
    <t>Група E</t>
  </si>
  <si>
    <t>Група F</t>
  </si>
  <si>
    <t>Равен</t>
  </si>
  <si>
    <t>Губя</t>
  </si>
  <si>
    <t>За</t>
  </si>
  <si>
    <t>Срещу</t>
  </si>
  <si>
    <t>Точки</t>
  </si>
  <si>
    <t>Група B / E / F Трето място</t>
  </si>
  <si>
    <t>Група A / C / D Трето място</t>
  </si>
  <si>
    <t>Група A / B / F Трето място</t>
  </si>
  <si>
    <t>Група C / D / E Трето място</t>
  </si>
  <si>
    <t>Група A-F Трето място Класиране</t>
  </si>
  <si>
    <t>França</t>
  </si>
  <si>
    <t>Albània</t>
  </si>
  <si>
    <t>Suïssa</t>
  </si>
  <si>
    <t>Anglaterra</t>
  </si>
  <si>
    <t>Rússia</t>
  </si>
  <si>
    <t>Gal·les</t>
  </si>
  <si>
    <t>Eslovàquia</t>
  </si>
  <si>
    <t>Alemanya</t>
  </si>
  <si>
    <t>Ucraïna</t>
  </si>
  <si>
    <t>Polònia</t>
  </si>
  <si>
    <t>Irlanda del Nord</t>
  </si>
  <si>
    <t>Espanya</t>
  </si>
  <si>
    <t>República Txeca</t>
  </si>
  <si>
    <t>Turquia</t>
  </si>
  <si>
    <t>Croàcia</t>
  </si>
  <si>
    <t>Bèlgica</t>
  </si>
  <si>
    <t>Itàlia</t>
  </si>
  <si>
    <t>República d'Irlanda</t>
  </si>
  <si>
    <t>Suècia</t>
  </si>
  <si>
    <t>Islàndia</t>
  </si>
  <si>
    <t>Àustria</t>
  </si>
  <si>
    <t>Hongria</t>
  </si>
  <si>
    <t>Zona horària</t>
  </si>
  <si>
    <t>Etapes del Grup</t>
  </si>
  <si>
    <t>Lloc de celebració</t>
  </si>
  <si>
    <t>Taula de posicions</t>
  </si>
  <si>
    <t>Puntuació</t>
  </si>
  <si>
    <t>Temps</t>
  </si>
  <si>
    <t>Ronda de 16</t>
  </si>
  <si>
    <t>Quarts de Final</t>
  </si>
  <si>
    <t>Semifinals</t>
  </si>
  <si>
    <t>Últim</t>
  </si>
  <si>
    <t>Guanyador</t>
  </si>
  <si>
    <t>Finalista</t>
  </si>
  <si>
    <t>Temps normal</t>
  </si>
  <si>
    <t>Temps extra</t>
  </si>
  <si>
    <t>Penal Shoot Out</t>
  </si>
  <si>
    <t>Campió</t>
  </si>
  <si>
    <t>Partit #</t>
  </si>
  <si>
    <t>Grup A Guanyador</t>
  </si>
  <si>
    <t>Grup B Guanyador</t>
  </si>
  <si>
    <t>Grup C Guanyador</t>
  </si>
  <si>
    <t>Grup D Guanyador</t>
  </si>
  <si>
    <t>Grup E Guanyador</t>
  </si>
  <si>
    <t>Grup F Guanyador</t>
  </si>
  <si>
    <t>Grup A Finalista</t>
  </si>
  <si>
    <t>Grup B Finalista</t>
  </si>
  <si>
    <t>Grup C Finalista</t>
  </si>
  <si>
    <t>Grup D Finalista</t>
  </si>
  <si>
    <t>Grup I Finalista</t>
  </si>
  <si>
    <t>Grup F Finalista</t>
  </si>
  <si>
    <t>Partit 37 Guanyador</t>
  </si>
  <si>
    <t>Partit 38 Guanyador</t>
  </si>
  <si>
    <t>Partit 39 Guanyador</t>
  </si>
  <si>
    <t>Partit 40 Guanyador</t>
  </si>
  <si>
    <t>Partit 41 Guanyador</t>
  </si>
  <si>
    <t>Partit 42 Guanyador</t>
  </si>
  <si>
    <t>Partit 43 Guanyador</t>
  </si>
  <si>
    <t>Partit 44 Guanyador</t>
  </si>
  <si>
    <t>Partit 45 Guanyador</t>
  </si>
  <si>
    <t>Partit 46 Guanyador</t>
  </si>
  <si>
    <t>Partit 47 Guanyador</t>
  </si>
  <si>
    <t>Partit 48 Guanyador</t>
  </si>
  <si>
    <t>Partit 49 Guanyador</t>
  </si>
  <si>
    <t>Partit 50 Guanyador</t>
  </si>
  <si>
    <t>Partit 51 Guanyador</t>
  </si>
  <si>
    <t>Visita exceltemplate.net per més plantilles i actualitzacions</t>
  </si>
  <si>
    <t>Euro 2016 Horari i Score Full</t>
  </si>
  <si>
    <t>Seleccioneu el text que voleu ressaltar, esborrar per eliminar més destacat</t>
  </si>
  <si>
    <t>Grup A</t>
  </si>
  <si>
    <t>Grup B</t>
  </si>
  <si>
    <t>Grup C</t>
  </si>
  <si>
    <t>Grup D</t>
  </si>
  <si>
    <t>Grup E</t>
  </si>
  <si>
    <t>Grup F</t>
  </si>
  <si>
    <t>Dibuixeu</t>
  </si>
  <si>
    <t>Perd</t>
  </si>
  <si>
    <t>Per</t>
  </si>
  <si>
    <t>En contra de</t>
  </si>
  <si>
    <t>Punts</t>
  </si>
  <si>
    <t>Knock Out Rondes</t>
  </si>
  <si>
    <t>Grup B / I / F Tercer lloc</t>
  </si>
  <si>
    <t>Grup A / C / D Tercer lloc</t>
  </si>
  <si>
    <t>Grup A / B / F Tercer lloc</t>
  </si>
  <si>
    <t>Grup C / D / E Tercer lloc</t>
  </si>
  <si>
    <t>Grup A-F Tercer Lloc Classificació</t>
  </si>
  <si>
    <t>法国</t>
  </si>
  <si>
    <t>罗马尼亚</t>
  </si>
  <si>
    <t>阿尔巴尼亚</t>
  </si>
  <si>
    <t>瑞士</t>
  </si>
  <si>
    <t>英国</t>
  </si>
  <si>
    <t>俄国</t>
  </si>
  <si>
    <t>威尔士</t>
  </si>
  <si>
    <t>斯洛伐克</t>
  </si>
  <si>
    <t>德国</t>
  </si>
  <si>
    <t>乌克兰</t>
  </si>
  <si>
    <t>波兰</t>
  </si>
  <si>
    <t>北爱尔兰</t>
  </si>
  <si>
    <t>西班牙</t>
  </si>
  <si>
    <t>捷克共和国</t>
  </si>
  <si>
    <t>火鸡</t>
  </si>
  <si>
    <t>克罗地亚</t>
  </si>
  <si>
    <t>比利时</t>
  </si>
  <si>
    <t>意大利</t>
  </si>
  <si>
    <t>爱尔兰</t>
  </si>
  <si>
    <t>瑞典</t>
  </si>
  <si>
    <t>葡萄牙</t>
  </si>
  <si>
    <t>冰岛</t>
  </si>
  <si>
    <t>奥地利</t>
  </si>
  <si>
    <t>匈牙利</t>
  </si>
  <si>
    <t>语言</t>
  </si>
  <si>
    <t>时区</t>
  </si>
  <si>
    <t>小组赛阶段</t>
  </si>
  <si>
    <t>地点</t>
  </si>
  <si>
    <t>积分榜</t>
  </si>
  <si>
    <t>组</t>
  </si>
  <si>
    <t>日期</t>
  </si>
  <si>
    <t>国家</t>
  </si>
  <si>
    <t>得分了</t>
  </si>
  <si>
    <t>时间</t>
  </si>
  <si>
    <t>16强赛</t>
  </si>
  <si>
    <t>四分之一决赛</t>
  </si>
  <si>
    <t>半决赛</t>
  </si>
  <si>
    <t>最终</t>
  </si>
  <si>
    <t>优胜者</t>
  </si>
  <si>
    <t>亚军</t>
  </si>
  <si>
    <t>正常时间</t>
  </si>
  <si>
    <t>额外的时间</t>
  </si>
  <si>
    <t>点球大战</t>
  </si>
  <si>
    <t>冠军</t>
  </si>
  <si>
    <t>匹配 ＃</t>
  </si>
  <si>
    <t>A组优胜者</t>
  </si>
  <si>
    <t>B组获奖者</t>
  </si>
  <si>
    <t>C组获奖者</t>
  </si>
  <si>
    <t>D组的优胜者</t>
  </si>
  <si>
    <t>E组优胜者</t>
  </si>
  <si>
    <t>F组优胜奖</t>
  </si>
  <si>
    <t>A组亚军</t>
  </si>
  <si>
    <t>B组亚军</t>
  </si>
  <si>
    <t>C组亚军</t>
  </si>
  <si>
    <t>D组亚军</t>
  </si>
  <si>
    <t>E组亚军</t>
  </si>
  <si>
    <t>F组亚军</t>
  </si>
  <si>
    <t>比赛3​​7获胜者</t>
  </si>
  <si>
    <t>比赛3​​8获胜者</t>
  </si>
  <si>
    <t>比赛3​​9获胜者</t>
  </si>
  <si>
    <t>比赛40获胜者</t>
  </si>
  <si>
    <t>比赛41获胜者</t>
  </si>
  <si>
    <t>比赛42获胜者</t>
  </si>
  <si>
    <t>比赛43获胜者</t>
  </si>
  <si>
    <t>比赛44获胜者</t>
  </si>
  <si>
    <t>比赛45获胜者</t>
  </si>
  <si>
    <t>比赛46获胜者</t>
  </si>
  <si>
    <t>比赛47获胜者</t>
  </si>
  <si>
    <t>比赛48获胜者</t>
  </si>
  <si>
    <t>比赛49获胜者</t>
  </si>
  <si>
    <t>比赛50获胜者</t>
  </si>
  <si>
    <t>比赛51获胜者</t>
  </si>
  <si>
    <t>访问exceltemplate.net更多的模板和更新</t>
  </si>
  <si>
    <t>欧元2016年计划及评分表</t>
  </si>
  <si>
    <t>选择要突出显示文本，删除删除亮点</t>
  </si>
  <si>
    <t>A组</t>
  </si>
  <si>
    <t>B组</t>
  </si>
  <si>
    <t>C组</t>
  </si>
  <si>
    <t>D组</t>
  </si>
  <si>
    <t>E组</t>
  </si>
  <si>
    <t>F组</t>
  </si>
  <si>
    <t>赢得</t>
  </si>
  <si>
    <t>绘制</t>
  </si>
  <si>
    <t>失去</t>
  </si>
  <si>
    <t>对于</t>
  </si>
  <si>
    <t>针对</t>
  </si>
  <si>
    <t>积分</t>
  </si>
  <si>
    <t>敲除大红大紫</t>
  </si>
  <si>
    <t>B组/ E / F第三名</t>
  </si>
  <si>
    <t>A组/ C / D第三名</t>
  </si>
  <si>
    <t>A组/ B / F第三名</t>
  </si>
  <si>
    <t>组C / D / E第三名</t>
  </si>
  <si>
    <t>A组-F第三名积分榜</t>
  </si>
  <si>
    <t>法國</t>
  </si>
  <si>
    <t>羅馬尼亞</t>
  </si>
  <si>
    <t>阿爾巴尼亞</t>
  </si>
  <si>
    <t>英國</t>
  </si>
  <si>
    <t>俄國</t>
  </si>
  <si>
    <t>威爾士</t>
  </si>
  <si>
    <t>德國</t>
  </si>
  <si>
    <t>烏克蘭</t>
  </si>
  <si>
    <t>波蘭</t>
  </si>
  <si>
    <t>北愛爾蘭</t>
  </si>
  <si>
    <t>捷克共和國</t>
  </si>
  <si>
    <t>火雞</t>
  </si>
  <si>
    <t>克羅地亞</t>
  </si>
  <si>
    <t>比利時</t>
  </si>
  <si>
    <t>愛爾蘭</t>
  </si>
  <si>
    <t>冰島</t>
  </si>
  <si>
    <t>奧地利</t>
  </si>
  <si>
    <t>語言</t>
  </si>
  <si>
    <t>時區</t>
  </si>
  <si>
    <t>小組賽階段</t>
  </si>
  <si>
    <t>地點</t>
  </si>
  <si>
    <t>積分榜</t>
  </si>
  <si>
    <t>組</t>
  </si>
  <si>
    <t>國家</t>
  </si>
  <si>
    <t>時間</t>
  </si>
  <si>
    <t>16強賽</t>
  </si>
  <si>
    <t>四分之一決賽</t>
  </si>
  <si>
    <t>半決賽</t>
  </si>
  <si>
    <t>最終</t>
  </si>
  <si>
    <t>優勝者</t>
  </si>
  <si>
    <t>亞軍</t>
  </si>
  <si>
    <t>正常時間</t>
  </si>
  <si>
    <t>額外的時間</t>
  </si>
  <si>
    <t>點球大戰</t>
  </si>
  <si>
    <t>冠軍</t>
  </si>
  <si>
    <t>A組優勝者</t>
  </si>
  <si>
    <t>B組獲獎者</t>
  </si>
  <si>
    <t>C組獲獎者</t>
  </si>
  <si>
    <t>D組的優勝者</t>
  </si>
  <si>
    <t>E組優勝者</t>
  </si>
  <si>
    <t>F組優勝獎</t>
  </si>
  <si>
    <t>A組亞軍</t>
  </si>
  <si>
    <t>B組亞軍</t>
  </si>
  <si>
    <t>C組亞軍</t>
  </si>
  <si>
    <t>D組亞軍</t>
  </si>
  <si>
    <t>E組亞軍</t>
  </si>
  <si>
    <t>F組亞軍</t>
  </si>
  <si>
    <t>比賽37獲勝者</t>
  </si>
  <si>
    <t>比賽38獲勝者</t>
  </si>
  <si>
    <t>比賽39獲勝者</t>
  </si>
  <si>
    <t>比賽40獲勝者</t>
  </si>
  <si>
    <t>比賽41獲勝者</t>
  </si>
  <si>
    <t>比賽42獲勝者</t>
  </si>
  <si>
    <t>比賽43獲勝者</t>
  </si>
  <si>
    <t>比賽44獲勝者</t>
  </si>
  <si>
    <t>比賽45獲勝者</t>
  </si>
  <si>
    <t>比賽46獲勝者</t>
  </si>
  <si>
    <t>比賽47獲勝者</t>
  </si>
  <si>
    <t>比賽48獲勝者</t>
  </si>
  <si>
    <t>比賽49獲勝者</t>
  </si>
  <si>
    <t>比賽50獲勝者</t>
  </si>
  <si>
    <t>比賽51獲勝者</t>
  </si>
  <si>
    <t>訪問exceltemplate.net更多的模板和更新</t>
  </si>
  <si>
    <t>歐元2016年計劃及評分表</t>
  </si>
  <si>
    <t>選擇要突出顯示文本，刪除刪除亮點</t>
  </si>
  <si>
    <t>A組</t>
  </si>
  <si>
    <t>B組</t>
  </si>
  <si>
    <t>C組</t>
  </si>
  <si>
    <t>D組</t>
  </si>
  <si>
    <t>E組</t>
  </si>
  <si>
    <t>F組</t>
  </si>
  <si>
    <t>贏得</t>
  </si>
  <si>
    <t>繪製</t>
  </si>
  <si>
    <t>對於</t>
  </si>
  <si>
    <t>針對</t>
  </si>
  <si>
    <t>積分</t>
  </si>
  <si>
    <t>敲除大紅大紫</t>
  </si>
  <si>
    <t>B組/ E / F第三名</t>
  </si>
  <si>
    <t>A組/ C / D第三名</t>
  </si>
  <si>
    <t>A組/ B / F第三名</t>
  </si>
  <si>
    <t>組C / D / E第三名</t>
  </si>
  <si>
    <t>A組-F第三名積分榜</t>
  </si>
  <si>
    <t>Francuska</t>
  </si>
  <si>
    <t>Rumunija</t>
  </si>
  <si>
    <t>Albanija</t>
  </si>
  <si>
    <t>Švicarska</t>
  </si>
  <si>
    <t>Engleska</t>
  </si>
  <si>
    <t>Rusija</t>
  </si>
  <si>
    <t>Vels</t>
  </si>
  <si>
    <t>Slovačka</t>
  </si>
  <si>
    <t>Njemačka</t>
  </si>
  <si>
    <t>Ukrajina</t>
  </si>
  <si>
    <t>Poljska</t>
  </si>
  <si>
    <t>Sjeverna Irska</t>
  </si>
  <si>
    <t>Španija</t>
  </si>
  <si>
    <t>Češka Republika</t>
  </si>
  <si>
    <t>Turska</t>
  </si>
  <si>
    <t>Hrvatska</t>
  </si>
  <si>
    <t>Belgija</t>
  </si>
  <si>
    <t>Italija</t>
  </si>
  <si>
    <t>Republika Irska</t>
  </si>
  <si>
    <t>Švedska</t>
  </si>
  <si>
    <t>Island</t>
  </si>
  <si>
    <t>Austrija</t>
  </si>
  <si>
    <t>Mađarska</t>
  </si>
  <si>
    <t>Jezik</t>
  </si>
  <si>
    <t>Vremenska zona</t>
  </si>
  <si>
    <t>Grupa Faze</t>
  </si>
  <si>
    <t>Mjesto održavanja</t>
  </si>
  <si>
    <t>Poredak</t>
  </si>
  <si>
    <t>Skupina</t>
  </si>
  <si>
    <t>Zemlja</t>
  </si>
  <si>
    <t>Postići</t>
  </si>
  <si>
    <t>Vrijeme</t>
  </si>
  <si>
    <t>Okrugli od 16</t>
  </si>
  <si>
    <t>Četvrtfinala</t>
  </si>
  <si>
    <t>Polufinala</t>
  </si>
  <si>
    <t>Konačni</t>
  </si>
  <si>
    <t>Pobjednik</t>
  </si>
  <si>
    <t>Drugi</t>
  </si>
  <si>
    <t>Normalno vrijeme</t>
  </si>
  <si>
    <t>Dodatno vrijeme</t>
  </si>
  <si>
    <t>Kazna pucati iz</t>
  </si>
  <si>
    <t>Prvak</t>
  </si>
  <si>
    <t>Usporedi #</t>
  </si>
  <si>
    <t>Skupina A pobjednik</t>
  </si>
  <si>
    <t>Skupina B pobjednik</t>
  </si>
  <si>
    <t>Skupina C Pobjednik</t>
  </si>
  <si>
    <t>Skupina D pobjednik</t>
  </si>
  <si>
    <t>Skupina E Pobjednik</t>
  </si>
  <si>
    <t>Skupina F pobjednik</t>
  </si>
  <si>
    <t>Skupina A drugoplasirani</t>
  </si>
  <si>
    <t>Skupina B drugoplasirani</t>
  </si>
  <si>
    <t>Skupina C drugoplasirani</t>
  </si>
  <si>
    <t>Skupina D drugoplasirani</t>
  </si>
  <si>
    <t>Skupina E drugoplasirani</t>
  </si>
  <si>
    <t>Skupina F drugoplasirani</t>
  </si>
  <si>
    <t>Klađenje 37 Pobjednik</t>
  </si>
  <si>
    <t>Klađenje 38 Pobjednik</t>
  </si>
  <si>
    <t>Klađenje 39 Pobjednik</t>
  </si>
  <si>
    <t>Klađenje 40 Pobjednik</t>
  </si>
  <si>
    <t>Klađenje 41 Pobjednik</t>
  </si>
  <si>
    <t>Klađenje 42 Pobjednik</t>
  </si>
  <si>
    <t>Klađenje 43 Pobjednik</t>
  </si>
  <si>
    <t>Klađenje 44 Pobjednik</t>
  </si>
  <si>
    <t>Klađenje 45 Pobjednik</t>
  </si>
  <si>
    <t>Klađenje 46 Pobjednik</t>
  </si>
  <si>
    <t>Klađenje 47 Pobjednik</t>
  </si>
  <si>
    <t>Klađenje 48 Pobjednik</t>
  </si>
  <si>
    <t>Klađenje 49 Pobjednik</t>
  </si>
  <si>
    <t>Klađenje 50 Pobjednik</t>
  </si>
  <si>
    <t>Klađenje 51 Pobjednik</t>
  </si>
  <si>
    <t>Posjetite exceltemplate.net za više predložaka i ažuriranja</t>
  </si>
  <si>
    <t>Euro 2016 Raspored i zapisnik</t>
  </si>
  <si>
    <t>Odaberite tekst koji želite istaknuti, brisanje ukloniti vrhunac</t>
  </si>
  <si>
    <t>Skupina A</t>
  </si>
  <si>
    <t>Skupina B</t>
  </si>
  <si>
    <t>Skupina C</t>
  </si>
  <si>
    <t>Skupina D</t>
  </si>
  <si>
    <t>Skupina E</t>
  </si>
  <si>
    <t>Skupina F</t>
  </si>
  <si>
    <t>Pobijediti</t>
  </si>
  <si>
    <t>Nacrtaj</t>
  </si>
  <si>
    <t>Izgubiti</t>
  </si>
  <si>
    <t>Za</t>
  </si>
  <si>
    <t>Protiv</t>
  </si>
  <si>
    <t>Bodovi</t>
  </si>
  <si>
    <t>Knock Out krugovi</t>
  </si>
  <si>
    <t>Skupina B / E / F Treće mjesto</t>
  </si>
  <si>
    <t>Skupina A / C / D Treće mjesto</t>
  </si>
  <si>
    <t>Skupina A / B / F treće mjesto</t>
  </si>
  <si>
    <t>Skupina C / D / E Treće mjesto</t>
  </si>
  <si>
    <t>Skupina A-F Treće mjesto Poredak</t>
  </si>
  <si>
    <t>Frankrig</t>
  </si>
  <si>
    <t>Rumænien</t>
  </si>
  <si>
    <t>Albanien</t>
  </si>
  <si>
    <t>Slovakiet</t>
  </si>
  <si>
    <t>Tyskland</t>
  </si>
  <si>
    <t>Polen</t>
  </si>
  <si>
    <t>Nordirland</t>
  </si>
  <si>
    <t>Tjekkiet</t>
  </si>
  <si>
    <t>Kalkun</t>
  </si>
  <si>
    <t>Belgien</t>
  </si>
  <si>
    <t>Irland</t>
  </si>
  <si>
    <t>Sverige</t>
  </si>
  <si>
    <t>Østrig</t>
  </si>
  <si>
    <t>Ungarn</t>
  </si>
  <si>
    <t>Sprog</t>
  </si>
  <si>
    <t>Tidszone</t>
  </si>
  <si>
    <t>Gruppe Stages</t>
  </si>
  <si>
    <t>Dato</t>
  </si>
  <si>
    <t>Tid</t>
  </si>
  <si>
    <t>Runde af 16</t>
  </si>
  <si>
    <t>Finals Quarter</t>
  </si>
  <si>
    <t>Vinder</t>
  </si>
  <si>
    <t>Opløber</t>
  </si>
  <si>
    <t>Normal tid</t>
  </si>
  <si>
    <t>Ekstra tid</t>
  </si>
  <si>
    <t>Gruppe A Vinder</t>
  </si>
  <si>
    <t>Gruppe B Vinder</t>
  </si>
  <si>
    <t>Gruppe C Vinder</t>
  </si>
  <si>
    <t>Gruppe D Vinder</t>
  </si>
  <si>
    <t>Gruppe E Vinder</t>
  </si>
  <si>
    <t>Gruppe F Vinder</t>
  </si>
  <si>
    <t>Gruppe A Runner Up</t>
  </si>
  <si>
    <t>Gruppe B Runner Up</t>
  </si>
  <si>
    <t>Gruppe C Runner Up</t>
  </si>
  <si>
    <t>Gruppe D Runner Up</t>
  </si>
  <si>
    <t>Gruppe E Runner Up</t>
  </si>
  <si>
    <t>Gruppe F Runner Up</t>
  </si>
  <si>
    <t>Match 37 Vinder</t>
  </si>
  <si>
    <t>Match 38 Vinder</t>
  </si>
  <si>
    <t>Match 39 Vinder</t>
  </si>
  <si>
    <t>Match 40 Vinder</t>
  </si>
  <si>
    <t>Match 41 Vinder</t>
  </si>
  <si>
    <t>Match 42 Vinder</t>
  </si>
  <si>
    <t>Match 43 Vinder</t>
  </si>
  <si>
    <t>Match 44 Vinder</t>
  </si>
  <si>
    <t>Match 45 Vinder</t>
  </si>
  <si>
    <t>Match 46 Vinder</t>
  </si>
  <si>
    <t>Match 47 Vinder</t>
  </si>
  <si>
    <t>Match 48 Vinder</t>
  </si>
  <si>
    <t>Match 49 Vinder</t>
  </si>
  <si>
    <t>Match 50 Vinder</t>
  </si>
  <si>
    <t>Match 51 Vinder</t>
  </si>
  <si>
    <t>Besøg exceltemplate.net for flere skabeloner og opdateringer</t>
  </si>
  <si>
    <t>Euro 2016 Tidsplan og Score Sheet</t>
  </si>
  <si>
    <t>Vælg tekst, du vil fremhæve, slette at fjerne fremhæve</t>
  </si>
  <si>
    <t>Gruppe A</t>
  </si>
  <si>
    <t>Gruppe B</t>
  </si>
  <si>
    <t>Gruppe C</t>
  </si>
  <si>
    <t>Gruppe D</t>
  </si>
  <si>
    <t>Gruppe E</t>
  </si>
  <si>
    <t>Gruppe F</t>
  </si>
  <si>
    <t>Vinde</t>
  </si>
  <si>
    <t>Tegne</t>
  </si>
  <si>
    <t>Tabe</t>
  </si>
  <si>
    <t>Mod</t>
  </si>
  <si>
    <t>Knock Out Runder</t>
  </si>
  <si>
    <t>Gruppe B / E / F Third Place</t>
  </si>
  <si>
    <t>Group A / C / D Third Place</t>
  </si>
  <si>
    <t>Group A / B / F Third Place</t>
  </si>
  <si>
    <t>Gruppe C / D / E Tredje Place</t>
  </si>
  <si>
    <t>Gruppe A-F Third Place Stillinger</t>
  </si>
  <si>
    <t>Slowakije</t>
  </si>
  <si>
    <t>Tsjechische Republiek</t>
  </si>
  <si>
    <t>Turkije</t>
  </si>
  <si>
    <t>republiek Ierland</t>
  </si>
  <si>
    <t>Zweden</t>
  </si>
  <si>
    <t>IJsland</t>
  </si>
  <si>
    <t>Oostenrijk</t>
  </si>
  <si>
    <t>Hongarije</t>
  </si>
  <si>
    <t>Groepsfase</t>
  </si>
  <si>
    <t>Plaats</t>
  </si>
  <si>
    <t>Standen</t>
  </si>
  <si>
    <t>Partituur</t>
  </si>
  <si>
    <t>Tweede plaats</t>
  </si>
  <si>
    <t>Normale tijd</t>
  </si>
  <si>
    <t>Extra tijd</t>
  </si>
  <si>
    <t>37e Winnaar</t>
  </si>
  <si>
    <t>38e Winnaar</t>
  </si>
  <si>
    <t>39e Winnaar</t>
  </si>
  <si>
    <t>40e Winnaar</t>
  </si>
  <si>
    <t>41e Winnaar</t>
  </si>
  <si>
    <t>42e Winnaar</t>
  </si>
  <si>
    <t>43e Winnaar</t>
  </si>
  <si>
    <t>44e Winnaar</t>
  </si>
  <si>
    <t>46e Winnaar</t>
  </si>
  <si>
    <t>47e Winnaar</t>
  </si>
  <si>
    <t>48e Winnaar</t>
  </si>
  <si>
    <t>49e Winnaar</t>
  </si>
  <si>
    <t>51e Winnaar</t>
  </si>
  <si>
    <t>Euro 2016 Planning en Blad van de Score</t>
  </si>
  <si>
    <t>Selecteer de tekst die u wilt markeren, verwijderen om hoogtepunt te verwijderen</t>
  </si>
  <si>
    <t>Winnen</t>
  </si>
  <si>
    <t>Trek</t>
  </si>
  <si>
    <t>Verliezen</t>
  </si>
  <si>
    <t>Voor</t>
  </si>
  <si>
    <t>Tegen</t>
  </si>
  <si>
    <t>Punten</t>
  </si>
  <si>
    <t>Groep B / E / F Third Place</t>
  </si>
  <si>
    <t>Groep A / C / D Derde plaats</t>
  </si>
  <si>
    <t>Groep A / B / F Third Place</t>
  </si>
  <si>
    <t>Groep C / D / E Third Place</t>
  </si>
  <si>
    <t>Groep A-F Derde plaats Standen</t>
  </si>
  <si>
    <t>45e Winnaar</t>
  </si>
  <si>
    <t>50e Winnaar</t>
  </si>
  <si>
    <t>Ranska</t>
  </si>
  <si>
    <t>Sveitsi</t>
  </si>
  <si>
    <t>Englanti</t>
  </si>
  <si>
    <t>Venäjä</t>
  </si>
  <si>
    <t>Saksa</t>
  </si>
  <si>
    <t>Ukraina</t>
  </si>
  <si>
    <t>Puola</t>
  </si>
  <si>
    <t>Pohjois-Irlanti</t>
  </si>
  <si>
    <t>Espanja</t>
  </si>
  <si>
    <t>Tšekin tasavalta</t>
  </si>
  <si>
    <t>Turkki</t>
  </si>
  <si>
    <t>Kroatia</t>
  </si>
  <si>
    <t>Belgia</t>
  </si>
  <si>
    <t>Irlanti</t>
  </si>
  <si>
    <t>Ruotsi</t>
  </si>
  <si>
    <t>Islanti</t>
  </si>
  <si>
    <t>Itävalta</t>
  </si>
  <si>
    <t>Unkari</t>
  </si>
  <si>
    <t>Kieli</t>
  </si>
  <si>
    <t>Aikavyöhyke</t>
  </si>
  <si>
    <t>Lohkovaiheessa</t>
  </si>
  <si>
    <t>Tapahtumapaikka</t>
  </si>
  <si>
    <t>Sarjataulukko</t>
  </si>
  <si>
    <t>Ryhmä</t>
  </si>
  <si>
    <t>Päivämäärä</t>
  </si>
  <si>
    <t>Maa</t>
  </si>
  <si>
    <t>Pisteet</t>
  </si>
  <si>
    <t>Aika</t>
  </si>
  <si>
    <t>Kierros 16</t>
  </si>
  <si>
    <t>Puolivälierä</t>
  </si>
  <si>
    <t>Välierät</t>
  </si>
  <si>
    <t>Lopullinen</t>
  </si>
  <si>
    <t>Voittaja</t>
  </si>
  <si>
    <t>Normaali aika</t>
  </si>
  <si>
    <t>Lisäaika</t>
  </si>
  <si>
    <t>Rangaistuspotkukilpailu</t>
  </si>
  <si>
    <t>Mestari</t>
  </si>
  <si>
    <t>Ottelu #</t>
  </si>
  <si>
    <t>Group Winner</t>
  </si>
  <si>
    <t>Lohko B Voittaja</t>
  </si>
  <si>
    <t>C-ryhmän voittaja</t>
  </si>
  <si>
    <t>Group D Voittaja</t>
  </si>
  <si>
    <t>Lohko E Voittaja</t>
  </si>
  <si>
    <t>Lohko F Voittaja</t>
  </si>
  <si>
    <t>Ryhmä Runner Up</t>
  </si>
  <si>
    <t>Ryhmä B Runner Up</t>
  </si>
  <si>
    <t>Ryhmä C Runner Up</t>
  </si>
  <si>
    <t>Ryhmä D Runner Up</t>
  </si>
  <si>
    <t>Ryhmä E Runner Up</t>
  </si>
  <si>
    <t>Lohko F Runner Up</t>
  </si>
  <si>
    <t>Ottelu 37 voittaja</t>
  </si>
  <si>
    <t>Ottelu 38 voittaja</t>
  </si>
  <si>
    <t>Ottelu 39 voittaja</t>
  </si>
  <si>
    <t>Ottelu 40 voittaja</t>
  </si>
  <si>
    <t>Ottelu 41 voittaja</t>
  </si>
  <si>
    <t>Ottelu 42 voittaja</t>
  </si>
  <si>
    <t>Ottelu 43 voittaja</t>
  </si>
  <si>
    <t>Ottelu 44 voittaja</t>
  </si>
  <si>
    <t>Ottelu 45 voittaja</t>
  </si>
  <si>
    <t>Ottelu 46 voittaja</t>
  </si>
  <si>
    <t>Ottelu 47 voittaja</t>
  </si>
  <si>
    <t>Ottelu 48 voittaja</t>
  </si>
  <si>
    <t>Ottelu 49 voittaja</t>
  </si>
  <si>
    <t>Ottelu 50 voittaja</t>
  </si>
  <si>
    <t>Ottelu 51 voittaja</t>
  </si>
  <si>
    <t>Käy exceltemplate.net lisää malleja ja päivityksiä</t>
  </si>
  <si>
    <t>Euro 2016 aikataulu ja Pisteet Sheet</t>
  </si>
  <si>
    <t>Valitse teksti, jonka haluat korostaa, poistaa poistaa kohokohta</t>
  </si>
  <si>
    <t>B-ryhmän</t>
  </si>
  <si>
    <t>Ryhmä C</t>
  </si>
  <si>
    <t>Lohko D</t>
  </si>
  <si>
    <t>Lohko E</t>
  </si>
  <si>
    <t>Lohko F</t>
  </si>
  <si>
    <t>Voittaa</t>
  </si>
  <si>
    <t>Piirtää</t>
  </si>
  <si>
    <t>Menettää</t>
  </si>
  <si>
    <t>Varten</t>
  </si>
  <si>
    <t>Vastaan</t>
  </si>
  <si>
    <t>Ryhmä B / E / F Kolmas sija</t>
  </si>
  <si>
    <t>Ryhmä / C / D Kolmas sija</t>
  </si>
  <si>
    <t>Ryhmä / B / F Kolmas sija</t>
  </si>
  <si>
    <t>Ryhmä C / D / E Kolmas sija</t>
  </si>
  <si>
    <t>Ryhmä-F Kolmas sija Sarjataulukko</t>
  </si>
  <si>
    <t>Roumanie</t>
  </si>
  <si>
    <t>Albanie</t>
  </si>
  <si>
    <t>Russie</t>
  </si>
  <si>
    <t>Pays de Galles</t>
  </si>
  <si>
    <t>Slovaquie</t>
  </si>
  <si>
    <t>l'Allemagne</t>
  </si>
  <si>
    <t>Pologne</t>
  </si>
  <si>
    <t>Irlande du nord</t>
  </si>
  <si>
    <t>l'Espagne</t>
  </si>
  <si>
    <t>République Tchèque</t>
  </si>
  <si>
    <t>Dinde</t>
  </si>
  <si>
    <t>Belgique</t>
  </si>
  <si>
    <t>République d'Irlande</t>
  </si>
  <si>
    <t>la Suède</t>
  </si>
  <si>
    <t>le Portugal</t>
  </si>
  <si>
    <t>Islande</t>
  </si>
  <si>
    <t>Autriche</t>
  </si>
  <si>
    <t>Hongrie</t>
  </si>
  <si>
    <t>Phase de groupes</t>
  </si>
  <si>
    <t>Lieu</t>
  </si>
  <si>
    <t>date</t>
  </si>
  <si>
    <t>But</t>
  </si>
  <si>
    <t>Cycle de 16</t>
  </si>
  <si>
    <t>Finaliste</t>
  </si>
  <si>
    <t>Durée normale</t>
  </si>
  <si>
    <t>Du temps en plus</t>
  </si>
  <si>
    <t>Tir au pénalty</t>
  </si>
  <si>
    <t>Rencontre #</t>
  </si>
  <si>
    <t>Vainqueur du groupe A</t>
  </si>
  <si>
    <t>Vainqueur du groupe B</t>
  </si>
  <si>
    <t>Vainqueur Groupe E</t>
  </si>
  <si>
    <t>Groupe A Runner Up</t>
  </si>
  <si>
    <t>Groupe B Runner Up</t>
  </si>
  <si>
    <t>Groupe C Runner Up</t>
  </si>
  <si>
    <t>Groupe D Runner Up</t>
  </si>
  <si>
    <t>Groupe E Runner Up</t>
  </si>
  <si>
    <t>Groupe F Runner Up</t>
  </si>
  <si>
    <t>Vainqueur match 37</t>
  </si>
  <si>
    <t>Vainqueur match 38</t>
  </si>
  <si>
    <t>Vainqueur match 39</t>
  </si>
  <si>
    <t>Vainqueur match 40</t>
  </si>
  <si>
    <t>Vainqueur match 41</t>
  </si>
  <si>
    <t>Vainqueur match 42</t>
  </si>
  <si>
    <t>Vainqueur match 43</t>
  </si>
  <si>
    <t>Vainqueur match 44</t>
  </si>
  <si>
    <t>Vainqueur match 45</t>
  </si>
  <si>
    <t>Vainqueur match 46</t>
  </si>
  <si>
    <t>Vainqueur match 47</t>
  </si>
  <si>
    <t>Vainqueur match 48</t>
  </si>
  <si>
    <t>Vainqueur match 49</t>
  </si>
  <si>
    <t>Vainqueur match 50</t>
  </si>
  <si>
    <t>Vainqueur match 51</t>
  </si>
  <si>
    <t>Visitez exceltemplate.net pour plus d'exemples et mises à jour</t>
  </si>
  <si>
    <t>Euro 2016 Horaire et Feuille de pointage</t>
  </si>
  <si>
    <t>Sélectionnez le texte que vous voulez mettre en évidence, supprimer pour supprimer clou</t>
  </si>
  <si>
    <t>Groupe A</t>
  </si>
  <si>
    <t>Groupe B</t>
  </si>
  <si>
    <t>Groupe C</t>
  </si>
  <si>
    <t>Groupe D</t>
  </si>
  <si>
    <t>Groupe E</t>
  </si>
  <si>
    <t>Groupe F</t>
  </si>
  <si>
    <t>Gagner</t>
  </si>
  <si>
    <t>Dessiner</t>
  </si>
  <si>
    <t>Perdre</t>
  </si>
  <si>
    <t>Pour</t>
  </si>
  <si>
    <t>Contre</t>
  </si>
  <si>
    <t>Des points</t>
  </si>
  <si>
    <t>Knock Out rounds</t>
  </si>
  <si>
    <t>Groupe B / E / F Troisième place</t>
  </si>
  <si>
    <t>Groupe A / C / D Troisième place</t>
  </si>
  <si>
    <t>Groupe A / B / F Troisième place</t>
  </si>
  <si>
    <t>Groupe C / D / E Troisième place</t>
  </si>
  <si>
    <t>Groupe A-F Troisième place Classements</t>
  </si>
  <si>
    <t>საფრანგეთი</t>
  </si>
  <si>
    <t>რუმინეთი</t>
  </si>
  <si>
    <t>ალბანეთი</t>
  </si>
  <si>
    <t>შვეიცარიაში</t>
  </si>
  <si>
    <t>რუსეთი</t>
  </si>
  <si>
    <t>სლოვაკეთი</t>
  </si>
  <si>
    <t>გერმანია</t>
  </si>
  <si>
    <t>უკრაინა</t>
  </si>
  <si>
    <t>პოლონეთი</t>
  </si>
  <si>
    <t>ჩრდილოეთ ირლანდია</t>
  </si>
  <si>
    <t>ესპანეთი</t>
  </si>
  <si>
    <t>ჩეხეთი</t>
  </si>
  <si>
    <t>თურქეთში</t>
  </si>
  <si>
    <t>ხორვატია</t>
  </si>
  <si>
    <t>ბელგია</t>
  </si>
  <si>
    <t>იტალიაში</t>
  </si>
  <si>
    <t>ირლანდიის რესპუბლიკა</t>
  </si>
  <si>
    <t>შვედეთი</t>
  </si>
  <si>
    <t>პორტუგალიის</t>
  </si>
  <si>
    <t>ისლანდია</t>
  </si>
  <si>
    <t>ავსტრიაში</t>
  </si>
  <si>
    <t>უნგრეთი</t>
  </si>
  <si>
    <t>ენა</t>
  </si>
  <si>
    <t>დროის სარტყელი</t>
  </si>
  <si>
    <t>ჯგუფი ეტაპები</t>
  </si>
  <si>
    <t>ადგილი</t>
  </si>
  <si>
    <t>მდგომარეობა</t>
  </si>
  <si>
    <t>ჯგუფი</t>
  </si>
  <si>
    <t>თარიღი</t>
  </si>
  <si>
    <t>ქვეყანა</t>
  </si>
  <si>
    <t>ანგარიში</t>
  </si>
  <si>
    <t>დრო</t>
  </si>
  <si>
    <t>რაუნდი 16</t>
  </si>
  <si>
    <t>მეოთხედფინალში</t>
  </si>
  <si>
    <t>ნახევრად ფინალში</t>
  </si>
  <si>
    <t>გამარჯვებული</t>
  </si>
  <si>
    <t>Runner up</t>
  </si>
  <si>
    <t>ჩვეულებრივი დრო</t>
  </si>
  <si>
    <t>დამატებითი დრო</t>
  </si>
  <si>
    <t>ჯარიმები Shoot Out</t>
  </si>
  <si>
    <t>ჩემპიონი</t>
  </si>
  <si>
    <t>A ჯგუფის გამარჯვებული</t>
  </si>
  <si>
    <t>ჯგუფი B გამარჯვებული</t>
  </si>
  <si>
    <t>C ჯგუფის გამარჯვებული</t>
  </si>
  <si>
    <t>ჯგუფი D გამარჯვებული</t>
  </si>
  <si>
    <t>ჯგუფი E გამარჯვებული</t>
  </si>
  <si>
    <t>ჯგუფი F გამარჯვებული</t>
  </si>
  <si>
    <t>A ჯგუფი Runner Up</t>
  </si>
  <si>
    <t>ჯგუფი B Runner Up</t>
  </si>
  <si>
    <t>C ჯგუფი Runner Up</t>
  </si>
  <si>
    <t>ჯგუფი D Runner Up</t>
  </si>
  <si>
    <t>ჯგუფი E Runner Up</t>
  </si>
  <si>
    <t>ჯგუფი F Runner Up</t>
  </si>
  <si>
    <t>მატჩი 37 გამარჯვებული</t>
  </si>
  <si>
    <t>მატჩი 38 გამარჯვებული</t>
  </si>
  <si>
    <t>მატჩი 39 გამარჯვებული</t>
  </si>
  <si>
    <t>მატჩი 40 გამარჯვებული</t>
  </si>
  <si>
    <t>მატჩი 41 გამარჯვებული</t>
  </si>
  <si>
    <t>მატჩი 42 გამარჯვებული</t>
  </si>
  <si>
    <t>მატჩი 43 გამარჯვებული</t>
  </si>
  <si>
    <t>მატჩი 44 გამარჯვებული</t>
  </si>
  <si>
    <t>მატჩი 45 გამარჯვებული</t>
  </si>
  <si>
    <t>მატჩი 46 გამარჯვებული</t>
  </si>
  <si>
    <t>მატჩი 47 გამარჯვებული</t>
  </si>
  <si>
    <t>მატჩი 48 გამარჯვებული</t>
  </si>
  <si>
    <t>მატჩი 49 გამარჯვებული</t>
  </si>
  <si>
    <t>მატჩი 50 გამარჯვებული</t>
  </si>
  <si>
    <t>მატჩი 51 გამარჯვებული</t>
  </si>
  <si>
    <t>ეწვიეთ exceltemplate.net მეტი თარგები და განახლება</t>
  </si>
  <si>
    <t>ევრო 2016 განრიგი და ანგარიში ფურცელი</t>
  </si>
  <si>
    <t>აირჩიეთ ტექსტი გსურთ ხაზი გავუსვა, წაშლის, ამოიღონ მონიშნეთ</t>
  </si>
  <si>
    <t>ჯგუფი A</t>
  </si>
  <si>
    <t>ჯგუფი B</t>
  </si>
  <si>
    <t>C ჯგუფი</t>
  </si>
  <si>
    <t>ჯგუფი D</t>
  </si>
  <si>
    <t>ჯგუფი E</t>
  </si>
  <si>
    <t>ჯგუფი F</t>
  </si>
  <si>
    <t>ხატვა</t>
  </si>
  <si>
    <t>იყიდება</t>
  </si>
  <si>
    <t>წინააღმდეგ</t>
  </si>
  <si>
    <t>რაოდენობა</t>
  </si>
  <si>
    <t>ჯგუფი B / E / F მესამე ადგილი</t>
  </si>
  <si>
    <t>ჯგუფი A / C / D მესამე ადგილი</t>
  </si>
  <si>
    <t>ჯგუფი A / B / F მესამე ადგილი</t>
  </si>
  <si>
    <t>ჯგუფი C / D / E მესამე ადგილი</t>
  </si>
  <si>
    <t>ჯგუფი A-F მესამე ადგილი მდგომარეობა</t>
  </si>
  <si>
    <t>Rumänien</t>
  </si>
  <si>
    <t>Russland</t>
  </si>
  <si>
    <t>Slowakei</t>
  </si>
  <si>
    <t>Deutschland</t>
  </si>
  <si>
    <t>Tschechien</t>
  </si>
  <si>
    <t>Truthahn</t>
  </si>
  <si>
    <t>Irische Republik</t>
  </si>
  <si>
    <t>Schweden</t>
  </si>
  <si>
    <t>Österreich</t>
  </si>
  <si>
    <t>Tagungsort</t>
  </si>
  <si>
    <t>Platzierungen</t>
  </si>
  <si>
    <t>Zeit</t>
  </si>
  <si>
    <t>Runde der letzten 16</t>
  </si>
  <si>
    <t>Viertel Finale</t>
  </si>
  <si>
    <t>Gewinner</t>
  </si>
  <si>
    <t>Verfolger, Zweitplatzierter, Vizemeister</t>
  </si>
  <si>
    <t>Normalzeit</t>
  </si>
  <si>
    <t>Extra Zeit</t>
  </si>
  <si>
    <t>Gruppe A Winner</t>
  </si>
  <si>
    <t>Gruppe B Sieger</t>
  </si>
  <si>
    <t>Gruppe C Sieger</t>
  </si>
  <si>
    <t>Gruppe D Sieger</t>
  </si>
  <si>
    <t>Gruppe E Gewinner</t>
  </si>
  <si>
    <t>Gruppe F Winner</t>
  </si>
  <si>
    <t>Spiel 37 Sieger</t>
  </si>
  <si>
    <t>Spiel 38 Sieger</t>
  </si>
  <si>
    <t>Spiel 39 Sieger</t>
  </si>
  <si>
    <t>Spiel 40 Sieger</t>
  </si>
  <si>
    <t>Spiel 41 Sieger</t>
  </si>
  <si>
    <t>Spiel 42 Sieger</t>
  </si>
  <si>
    <t>Spiel 43 Sieger</t>
  </si>
  <si>
    <t>Spiel 44 Sieger</t>
  </si>
  <si>
    <t>Spiel 45 Sieger</t>
  </si>
  <si>
    <t>Spiel 46 Sieger</t>
  </si>
  <si>
    <t>Spiel 47 Sieger</t>
  </si>
  <si>
    <t>Spiel 48 Sieger</t>
  </si>
  <si>
    <t>Spiel 49 Sieger</t>
  </si>
  <si>
    <t>Spiel 50 Sieger</t>
  </si>
  <si>
    <t>Spiel 51 Sieger</t>
  </si>
  <si>
    <t>Besuchen exceltemplate.net für weitere Vorlagen und Updates</t>
  </si>
  <si>
    <t>Euro 2016 Spielplan und Spielberichtsbogen</t>
  </si>
  <si>
    <t>Wählen Sie Text, den Sie markieren möchten, löschen Sie den Höhepunkt zu entfernen</t>
  </si>
  <si>
    <t>Gewinnen</t>
  </si>
  <si>
    <t>Zeichnen</t>
  </si>
  <si>
    <t>Verlieren</t>
  </si>
  <si>
    <t>Für</t>
  </si>
  <si>
    <t>Gegen</t>
  </si>
  <si>
    <t>Punkte</t>
  </si>
  <si>
    <t>Knock Out Runden</t>
  </si>
  <si>
    <t>Gruppe B / E / F Dritter Platz</t>
  </si>
  <si>
    <t>Gruppe A / C / D Dritter Platz</t>
  </si>
  <si>
    <t>Gruppe A / B / F Dritter Platz</t>
  </si>
  <si>
    <t>Gruppe C / D / E Dritter Platz</t>
  </si>
  <si>
    <t>Gruppe A-F Dritter Platz Entwicklung</t>
  </si>
  <si>
    <t>Γαλλία</t>
  </si>
  <si>
    <t>Ρουμανία</t>
  </si>
  <si>
    <t>Αλβανία</t>
  </si>
  <si>
    <t>Ελβετία</t>
  </si>
  <si>
    <t>Αγγλία</t>
  </si>
  <si>
    <t>Ρωσία</t>
  </si>
  <si>
    <t>Ουαλία</t>
  </si>
  <si>
    <t>Σλοβακία</t>
  </si>
  <si>
    <t>Γερμανία</t>
  </si>
  <si>
    <t>Ουκρανία</t>
  </si>
  <si>
    <t>Πολωνία</t>
  </si>
  <si>
    <t>Βόρεια Ιρλανδία</t>
  </si>
  <si>
    <t>Ισπανία</t>
  </si>
  <si>
    <t>Τσεχική Δημοκρατία</t>
  </si>
  <si>
    <t>Τουρκία</t>
  </si>
  <si>
    <t>Κροατία</t>
  </si>
  <si>
    <t>Βέλγιο</t>
  </si>
  <si>
    <t>Ιταλία</t>
  </si>
  <si>
    <t>Δημοκρατία της Ιρλανδίας</t>
  </si>
  <si>
    <t>Σουηδία</t>
  </si>
  <si>
    <t>Πορτογαλία</t>
  </si>
  <si>
    <t>Ισλανδία</t>
  </si>
  <si>
    <t>Αυστρία</t>
  </si>
  <si>
    <t>Ουγγαρία</t>
  </si>
  <si>
    <t>Γλώσσα</t>
  </si>
  <si>
    <t>Ζώνη ώρας</t>
  </si>
  <si>
    <t>Ομάδα Στάδια</t>
  </si>
  <si>
    <t>Τόπος συναντήσεως</t>
  </si>
  <si>
    <t>Βαθμολογία</t>
  </si>
  <si>
    <t>Ομάδα</t>
  </si>
  <si>
    <t>Ημερομηνία</t>
  </si>
  <si>
    <t>Χώρα</t>
  </si>
  <si>
    <t>Σκορ</t>
  </si>
  <si>
    <t>Φορά</t>
  </si>
  <si>
    <t>Φάση των 16</t>
  </si>
  <si>
    <t>Προημιτελικοί</t>
  </si>
  <si>
    <t>Ημιτελικοί</t>
  </si>
  <si>
    <t>Τελικός</t>
  </si>
  <si>
    <t>Νικητής</t>
  </si>
  <si>
    <t>Επιλαχών</t>
  </si>
  <si>
    <t>Κανονική Ώρα</t>
  </si>
  <si>
    <t>Επιπλέον χρόνος</t>
  </si>
  <si>
    <t>Πέναλτι</t>
  </si>
  <si>
    <t>Πρωταθλητής</t>
  </si>
  <si>
    <t>Αγώνας #</t>
  </si>
  <si>
    <t>Ομάδα Α Νικητής</t>
  </si>
  <si>
    <t>Ομάδα Β Νικητής</t>
  </si>
  <si>
    <t>Ομάδα Γ Νικητής</t>
  </si>
  <si>
    <t>Όμιλος Δ Νικητής</t>
  </si>
  <si>
    <t>Ομάδα Ε Νικητής</t>
  </si>
  <si>
    <t>Ομάδα F Νικητής</t>
  </si>
  <si>
    <t>Ομάδα Α επιλαχών</t>
  </si>
  <si>
    <t>Ομάδα Β Runner Up</t>
  </si>
  <si>
    <t>Ομάδα Γ επιλαχών</t>
  </si>
  <si>
    <t>Ομάδα Δ Runner Up</t>
  </si>
  <si>
    <t>Ομάδα Ε Runner Up</t>
  </si>
  <si>
    <t>Ομάδα F επιλαχών</t>
  </si>
  <si>
    <t>Νικητής Αγώνα 37</t>
  </si>
  <si>
    <t>Νικητής Αγώνα 38</t>
  </si>
  <si>
    <t>Νικητής Αγώνα 39</t>
  </si>
  <si>
    <t>Νικητής Αγώνα 40</t>
  </si>
  <si>
    <t>Νικητής Αγώνα 41</t>
  </si>
  <si>
    <t>Νικητής Αγώνα 42</t>
  </si>
  <si>
    <t>Νικητής Αγώνα 43</t>
  </si>
  <si>
    <t>Νικητής Αγώνα 44</t>
  </si>
  <si>
    <t>Νικητής Αγώνα 45</t>
  </si>
  <si>
    <t>Νικητής Αγώνα 46</t>
  </si>
  <si>
    <t>Νικητής Αγώνα 47</t>
  </si>
  <si>
    <t>Νικητής Αγώνα 48</t>
  </si>
  <si>
    <t>Νικητής Αγώνα 49</t>
  </si>
  <si>
    <t>Νικητής Αγώνα 50</t>
  </si>
  <si>
    <t>Νικητής Αγώνα 51</t>
  </si>
  <si>
    <t>Επισκεφθείτε exceltemplate.net για περισσότερα πρότυπα και ενημερώσεις</t>
  </si>
  <si>
    <t>Euro 2016 Πρόγραμμα και φύλλου βαθμολογίας</t>
  </si>
  <si>
    <t>Επιλέξτε το κείμενο που θέλετε να επισημάνετε, να διαγράψετε για να αφαιρέσετε αποκορύφωμα</t>
  </si>
  <si>
    <t>Ομάδα Α</t>
  </si>
  <si>
    <t>Ομάδα Β</t>
  </si>
  <si>
    <t>Γ 'όμιλος</t>
  </si>
  <si>
    <t>Δ 'όμιλος</t>
  </si>
  <si>
    <t>Ομάδα Ε</t>
  </si>
  <si>
    <t>Ομάδα ΣΤ</t>
  </si>
  <si>
    <t>Νίκη</t>
  </si>
  <si>
    <t>Ισοπαλία</t>
  </si>
  <si>
    <t>Χάνω</t>
  </si>
  <si>
    <t>Για</t>
  </si>
  <si>
    <t>Εναντίον</t>
  </si>
  <si>
    <t>Σημεία</t>
  </si>
  <si>
    <t>Νοκ Άουτ Γύροι</t>
  </si>
  <si>
    <t>Ομάδα Β / E / F Τρίτη Θέση</t>
  </si>
  <si>
    <t>Ομάδα Α / Γ / Δ Τρίτη Θέση</t>
  </si>
  <si>
    <t>Ομάδα Α / Β / F Τρίτη Θέση</t>
  </si>
  <si>
    <t>Ομάδα Γ / Δ / Ε Τρίτη Θέση</t>
  </si>
  <si>
    <t>Ομάδα Α-Ρ Τρίτη Θέση Βαθμολογία</t>
  </si>
  <si>
    <t>צָרְפַת</t>
  </si>
  <si>
    <t>רומניה</t>
  </si>
  <si>
    <t>אלבניה</t>
  </si>
  <si>
    <t>שווייץ</t>
  </si>
  <si>
    <t>אַנְגלִיָה</t>
  </si>
  <si>
    <t>רוּסִיָה</t>
  </si>
  <si>
    <t>ויילס</t>
  </si>
  <si>
    <t>סלובקיה</t>
  </si>
  <si>
    <t>גֶרמָנִיָה</t>
  </si>
  <si>
    <t>אוקראינה</t>
  </si>
  <si>
    <t>פּוֹלִין</t>
  </si>
  <si>
    <t>אירלנד הצפונית</t>
  </si>
  <si>
    <t>סְפָרַד</t>
  </si>
  <si>
    <t>הרפובליקה הצ'כית</t>
  </si>
  <si>
    <t>טורקיה</t>
  </si>
  <si>
    <t>קרואטיה</t>
  </si>
  <si>
    <t>בלגיה</t>
  </si>
  <si>
    <t>אִיטַלִיָה</t>
  </si>
  <si>
    <t>רפובליקה של אירלנד</t>
  </si>
  <si>
    <t>שוודיה</t>
  </si>
  <si>
    <t>פּוֹרטוּגָל</t>
  </si>
  <si>
    <t>אִיסלַנד</t>
  </si>
  <si>
    <t>אוֹסְטְרֵיָה</t>
  </si>
  <si>
    <t>הונגריה</t>
  </si>
  <si>
    <t>שָׂפָה</t>
  </si>
  <si>
    <t>אזור זמן</t>
  </si>
  <si>
    <t>שלבי קבוצה</t>
  </si>
  <si>
    <t>מָקוֹם מִפגָשׁ</t>
  </si>
  <si>
    <t>טבלה</t>
  </si>
  <si>
    <t>קְבוּצָה</t>
  </si>
  <si>
    <t>תַאֲרִיך</t>
  </si>
  <si>
    <t>מְדִינָה</t>
  </si>
  <si>
    <t>צִיוּן</t>
  </si>
  <si>
    <t>זְמַן</t>
  </si>
  <si>
    <t>סיבוב של 16</t>
  </si>
  <si>
    <t>רבע גמר</t>
  </si>
  <si>
    <t>חץ גמר</t>
  </si>
  <si>
    <t>בחינת בגרות</t>
  </si>
  <si>
    <t>זוֹכֵה</t>
  </si>
  <si>
    <t>שֵׁנִי בְּתַחֲרוּת</t>
  </si>
  <si>
    <t>זמן רגיל</t>
  </si>
  <si>
    <t>זמן נוסף</t>
  </si>
  <si>
    <t>עונש לירות החוצה</t>
  </si>
  <si>
    <t>אַלוּף</t>
  </si>
  <si>
    <t>התאמה #</t>
  </si>
  <si>
    <t>זוכה קבוצה</t>
  </si>
  <si>
    <t>קבוצה ב 'זוכה</t>
  </si>
  <si>
    <t>זוכה C קבוצה</t>
  </si>
  <si>
    <t>זוכה D קבוצה</t>
  </si>
  <si>
    <t>זוכה E קבוצה</t>
  </si>
  <si>
    <t>זוכה F קבוצה</t>
  </si>
  <si>
    <t>קבוצת סגנית</t>
  </si>
  <si>
    <t>קבוצה ב 'סגנית</t>
  </si>
  <si>
    <t>קבוצת ג 'סגנית</t>
  </si>
  <si>
    <t>קבוצת D סגנית</t>
  </si>
  <si>
    <t>קבוצת E סגנית</t>
  </si>
  <si>
    <t>קבוצת F סגנית</t>
  </si>
  <si>
    <t>משחק 37 זוכה</t>
  </si>
  <si>
    <t>משחק 38 זוכה</t>
  </si>
  <si>
    <t>משחק 39 זוכה</t>
  </si>
  <si>
    <t>משחק 40 זוכה</t>
  </si>
  <si>
    <t>משחק 41 זוכה</t>
  </si>
  <si>
    <t>משחק 42 זוכה</t>
  </si>
  <si>
    <t>משחק 43 זוכה</t>
  </si>
  <si>
    <t>משחק 44 זוכה</t>
  </si>
  <si>
    <t>משחק 45 זוכה</t>
  </si>
  <si>
    <t>משחק 46 זוכה</t>
  </si>
  <si>
    <t>משחק 47 זוכה</t>
  </si>
  <si>
    <t>משחק 48 זוכה</t>
  </si>
  <si>
    <t>משחק 49 זוכה</t>
  </si>
  <si>
    <t>משחק 50 זוכה</t>
  </si>
  <si>
    <t>משחק 51 זוכה</t>
  </si>
  <si>
    <t>בקר exceltemplate.net לתבניות נוספות ועדכונים</t>
  </si>
  <si>
    <t>אירו 2016 ולוח זמני ציון גיליון</t>
  </si>
  <si>
    <t>בחר טקסט שאתה רוצה להדגיש, למחוק להסיר שיא</t>
  </si>
  <si>
    <t>קבוצה</t>
  </si>
  <si>
    <t>קבוצה ב '</t>
  </si>
  <si>
    <t>קבוצת ג '</t>
  </si>
  <si>
    <t>הקבוצה D</t>
  </si>
  <si>
    <t>קבוצת E</t>
  </si>
  <si>
    <t>הקבוצה F</t>
  </si>
  <si>
    <t>זכיתי ב</t>
  </si>
  <si>
    <t>לִמְשׁוֹך</t>
  </si>
  <si>
    <t>לְאַבֵּד</t>
  </si>
  <si>
    <t>בשביל ש</t>
  </si>
  <si>
    <t>נֶגֶד</t>
  </si>
  <si>
    <t>נקודות</t>
  </si>
  <si>
    <t>לדפוק את כדורים</t>
  </si>
  <si>
    <t>הקבוצה B / E / F מקום שלישי</t>
  </si>
  <si>
    <t>קבוצה / C / D מקום שלישי</t>
  </si>
  <si>
    <t>הקבוצה A / B / F מקום שלישי</t>
  </si>
  <si>
    <t>קבוצת C / D / E מקום שלישי</t>
  </si>
  <si>
    <t>קבוצה-F מקום שלישי טבלה</t>
  </si>
  <si>
    <t>Franciaország</t>
  </si>
  <si>
    <t>Románia</t>
  </si>
  <si>
    <t>Albánia</t>
  </si>
  <si>
    <t>Svájc</t>
  </si>
  <si>
    <t>Anglia</t>
  </si>
  <si>
    <t>Oroszország</t>
  </si>
  <si>
    <t>Szlovákia</t>
  </si>
  <si>
    <t>Németország</t>
  </si>
  <si>
    <t>Ukrajna</t>
  </si>
  <si>
    <t>Lengyelország</t>
  </si>
  <si>
    <t>Észak-Írország</t>
  </si>
  <si>
    <t>Spanyolország</t>
  </si>
  <si>
    <t>Cseh Köztársaság</t>
  </si>
  <si>
    <t>Törökország</t>
  </si>
  <si>
    <t>Horvátország</t>
  </si>
  <si>
    <t>Olaszország</t>
  </si>
  <si>
    <t>Köztársaság, Írország</t>
  </si>
  <si>
    <t>Svédország</t>
  </si>
  <si>
    <t>Portugália</t>
  </si>
  <si>
    <t>Izland</t>
  </si>
  <si>
    <t>Ausztria</t>
  </si>
  <si>
    <t>Magyarország</t>
  </si>
  <si>
    <t>Nyelv</t>
  </si>
  <si>
    <t>Időzóna</t>
  </si>
  <si>
    <t>Csoport szakaszai</t>
  </si>
  <si>
    <t>Helyszín</t>
  </si>
  <si>
    <t>Tabella</t>
  </si>
  <si>
    <t>Csoport</t>
  </si>
  <si>
    <t>Dátum</t>
  </si>
  <si>
    <t>Ország</t>
  </si>
  <si>
    <t>Pontszám</t>
  </si>
  <si>
    <t>Idő</t>
  </si>
  <si>
    <t>Kerek 16</t>
  </si>
  <si>
    <t>Negyeddöntők</t>
  </si>
  <si>
    <t>Elődöntő</t>
  </si>
  <si>
    <t>Végső</t>
  </si>
  <si>
    <t>Győztes</t>
  </si>
  <si>
    <t>Felfutó</t>
  </si>
  <si>
    <t>Normál idő</t>
  </si>
  <si>
    <t>Plusz idő</t>
  </si>
  <si>
    <t>Szétlövés</t>
  </si>
  <si>
    <t>Bajnok</t>
  </si>
  <si>
    <t>Mérkőzés #</t>
  </si>
  <si>
    <t>A csoport nyertese</t>
  </si>
  <si>
    <t>B csoport nyertese</t>
  </si>
  <si>
    <t>C csoport győztese</t>
  </si>
  <si>
    <t>D csoport nyertes</t>
  </si>
  <si>
    <t>E-csoport győztese</t>
  </si>
  <si>
    <t>F csoport győztese</t>
  </si>
  <si>
    <t>Csoport A második helyezett</t>
  </si>
  <si>
    <t>B csoport második helyezett</t>
  </si>
  <si>
    <t>C csoport második helyezett</t>
  </si>
  <si>
    <t>D csoport második helyezett</t>
  </si>
  <si>
    <t>E-csoport második helyezett</t>
  </si>
  <si>
    <t>F csoport második helyezett</t>
  </si>
  <si>
    <t>Match 37 Győztes</t>
  </si>
  <si>
    <t>Match 38 Győztes</t>
  </si>
  <si>
    <t>Match 39 Győztes</t>
  </si>
  <si>
    <t>Match 40 Győztes</t>
  </si>
  <si>
    <t>Match 41 Győztes</t>
  </si>
  <si>
    <t>Match 42 Győztes</t>
  </si>
  <si>
    <t>Match 43 Győztes</t>
  </si>
  <si>
    <t>Match 44 Győztes</t>
  </si>
  <si>
    <t>Match 45 Győztes</t>
  </si>
  <si>
    <t>Match 46 Győztes</t>
  </si>
  <si>
    <t>Match 47 Győztes</t>
  </si>
  <si>
    <t>Match 48 Győztes</t>
  </si>
  <si>
    <t>Match 49 Győztes</t>
  </si>
  <si>
    <t>Match 50 Győztes</t>
  </si>
  <si>
    <t>Match 51 Győztes</t>
  </si>
  <si>
    <t>Látogassa exceltemplate.net további sablonokat és frissítések</t>
  </si>
  <si>
    <t>Euro 2016 Menetrend és ponttábla</t>
  </si>
  <si>
    <t>Válassza ki a kívánt szöveget kiemelni, törölni, hogy távolítsa el fénypontja</t>
  </si>
  <si>
    <t>A. csoport</t>
  </si>
  <si>
    <t>B csoport</t>
  </si>
  <si>
    <t>C csoport</t>
  </si>
  <si>
    <t>D csoport</t>
  </si>
  <si>
    <t>E-csoport</t>
  </si>
  <si>
    <t>F csoport</t>
  </si>
  <si>
    <t>Győzelem</t>
  </si>
  <si>
    <t>Húz</t>
  </si>
  <si>
    <t>elveszít</t>
  </si>
  <si>
    <t>Ellen</t>
  </si>
  <si>
    <t>Pont</t>
  </si>
  <si>
    <t>Knock Out kerekít</t>
  </si>
  <si>
    <t>B csoport / E / F harmadik hely</t>
  </si>
  <si>
    <t>Csoport A / C / D Harmadik hely</t>
  </si>
  <si>
    <t>Csoport: A / B / F harmadik hely</t>
  </si>
  <si>
    <t>Csoport C / D / E harmadik hely</t>
  </si>
  <si>
    <t>Csoport A-F harmadik hely Tabella</t>
  </si>
  <si>
    <t>Perancis</t>
  </si>
  <si>
    <t>Rumania</t>
  </si>
  <si>
    <t>Swiss</t>
  </si>
  <si>
    <t>Inggris</t>
  </si>
  <si>
    <t>Rusia</t>
  </si>
  <si>
    <t>Jerman</t>
  </si>
  <si>
    <t>Polandia</t>
  </si>
  <si>
    <t>Irlandia Utara</t>
  </si>
  <si>
    <t>Spanyol</t>
  </si>
  <si>
    <t>Republik Ceko</t>
  </si>
  <si>
    <t>Turki</t>
  </si>
  <si>
    <t>Kroasia</t>
  </si>
  <si>
    <t>Republik Irlandia</t>
  </si>
  <si>
    <t>Swedia</t>
  </si>
  <si>
    <t>Islandia</t>
  </si>
  <si>
    <t>Hongaria</t>
  </si>
  <si>
    <t>Bahasa</t>
  </si>
  <si>
    <t>Zona waktu</t>
  </si>
  <si>
    <t>Tahapan kelompok</t>
  </si>
  <si>
    <t>Lokasi</t>
  </si>
  <si>
    <t>Klasemen</t>
  </si>
  <si>
    <t>Kelompok</t>
  </si>
  <si>
    <t>Tanggal</t>
  </si>
  <si>
    <t>Negara</t>
  </si>
  <si>
    <t>Skor</t>
  </si>
  <si>
    <t>Waktu</t>
  </si>
  <si>
    <t>Babak 16</t>
  </si>
  <si>
    <t>Perempat final</t>
  </si>
  <si>
    <t>Semi Final</t>
  </si>
  <si>
    <t>Terakhir</t>
  </si>
  <si>
    <t>Pemenang</t>
  </si>
  <si>
    <t>Pemenang kedua</t>
  </si>
  <si>
    <t>Waktu yang normal</t>
  </si>
  <si>
    <t>Waktu tambahan</t>
  </si>
  <si>
    <t>Penalti menembak keluar</t>
  </si>
  <si>
    <t>Juara</t>
  </si>
  <si>
    <t>Pertandingan #</t>
  </si>
  <si>
    <t>Grup A Winner</t>
  </si>
  <si>
    <t>Grup B Pemenang</t>
  </si>
  <si>
    <t>Grup C Pemenang</t>
  </si>
  <si>
    <t>Grup D Pemenang</t>
  </si>
  <si>
    <t>Pemenang Grup E</t>
  </si>
  <si>
    <t>Pemenang Grup F</t>
  </si>
  <si>
    <t>Grup A Runner Up</t>
  </si>
  <si>
    <t>Grup B Runner Up</t>
  </si>
  <si>
    <t>Grup C Runner Up</t>
  </si>
  <si>
    <t>Grup D Runner Up</t>
  </si>
  <si>
    <t>Grup E Runner Up</t>
  </si>
  <si>
    <t>Grup F Runner Up</t>
  </si>
  <si>
    <t>Pertandingan 37 Pemenang</t>
  </si>
  <si>
    <t>Pertandingan 38 Pemenang</t>
  </si>
  <si>
    <t>Pertandingan 39 Pemenang</t>
  </si>
  <si>
    <t>Pertandingan 40 Pemenang</t>
  </si>
  <si>
    <t>Pertandingan 41 Pemenang</t>
  </si>
  <si>
    <t>Pertandingan 42 Pemenang</t>
  </si>
  <si>
    <t>Pertandingan 43 Pemenang</t>
  </si>
  <si>
    <t>Pertandingan 44 Pemenang</t>
  </si>
  <si>
    <t>Pertandingan 45 Pemenang</t>
  </si>
  <si>
    <t>Pertandingan 46 Pemenang</t>
  </si>
  <si>
    <t>Pertandingan 47 Pemenang</t>
  </si>
  <si>
    <t>Pertandingan 48 Pemenang</t>
  </si>
  <si>
    <t>Pertandingan 49 Pemenang</t>
  </si>
  <si>
    <t>Pertandingan 50 Pemenang</t>
  </si>
  <si>
    <t>Pertandingan 51 Pemenang</t>
  </si>
  <si>
    <t>Kunjungi exceltemplate.net untuk lebih template dan update</t>
  </si>
  <si>
    <t>Euro 2016 Jadwal dan Skor Lembar</t>
  </si>
  <si>
    <t>Pilih teks yang ingin Anda sorot, menghapus untuk menghapus sorot</t>
  </si>
  <si>
    <t>Menang</t>
  </si>
  <si>
    <t>Menarik</t>
  </si>
  <si>
    <t>Kehilangan</t>
  </si>
  <si>
    <t>Untuk</t>
  </si>
  <si>
    <t>Terhadap</t>
  </si>
  <si>
    <t>Poin</t>
  </si>
  <si>
    <t>Grup B / E / F Juara Ketiga</t>
  </si>
  <si>
    <t>Grup A / C / D Juara Ketiga</t>
  </si>
  <si>
    <t>Grup A / B / F Juara Ketiga</t>
  </si>
  <si>
    <t>Grup C / D / E Juara Ketiga</t>
  </si>
  <si>
    <t>Grup A-F Juara Ketiga Klasemen</t>
  </si>
  <si>
    <t>Albanía</t>
  </si>
  <si>
    <t>Sviss</t>
  </si>
  <si>
    <t>Þýskaland</t>
  </si>
  <si>
    <t>Úkraína</t>
  </si>
  <si>
    <t>Norður Írland</t>
  </si>
  <si>
    <t>Tékkland</t>
  </si>
  <si>
    <t>Kalkúnn</t>
  </si>
  <si>
    <t>Ítalía</t>
  </si>
  <si>
    <t>Írland</t>
  </si>
  <si>
    <t>Svíþjóð</t>
  </si>
  <si>
    <t>Ungverjaland</t>
  </si>
  <si>
    <t>Tungumál</t>
  </si>
  <si>
    <t>Tímabelti</t>
  </si>
  <si>
    <t>Stigum Group</t>
  </si>
  <si>
    <t>Valur</t>
  </si>
  <si>
    <t>Dagsetning</t>
  </si>
  <si>
    <t>Umferð 16</t>
  </si>
  <si>
    <t>Parhús Finals</t>
  </si>
  <si>
    <t>Sigurvegari</t>
  </si>
  <si>
    <t>Í öðru sæti</t>
  </si>
  <si>
    <t>Hópur D Runner Up</t>
  </si>
  <si>
    <t>Heimsókn exceltemplate.net fyrir fleiri sniðmát og uppfærslur</t>
  </si>
  <si>
    <t>Euro 2016 Dagskrá og skora Sheet</t>
  </si>
  <si>
    <t>Veldu textann sem þú vilt að varpa ljósi, eyða til að fjarlægja hápunktur</t>
  </si>
  <si>
    <t>Missa</t>
  </si>
  <si>
    <t>Fyrir</t>
  </si>
  <si>
    <t>Group B / E / F Third Place</t>
  </si>
  <si>
    <t>Group A / C / D Þriðja Place</t>
  </si>
  <si>
    <t>Group C / D / E Þriðja Place</t>
  </si>
  <si>
    <t>Group A-F Þriðja Place Standings</t>
  </si>
  <si>
    <t>Galles</t>
  </si>
  <si>
    <t>Slovacchia</t>
  </si>
  <si>
    <t>Germania</t>
  </si>
  <si>
    <t>Ucraina</t>
  </si>
  <si>
    <t>Polonia</t>
  </si>
  <si>
    <t>Irlanda del nord</t>
  </si>
  <si>
    <t>Repubblica Ceca</t>
  </si>
  <si>
    <t>tacchino</t>
  </si>
  <si>
    <t>Belgio</t>
  </si>
  <si>
    <t>repubblica d'Irlanda</t>
  </si>
  <si>
    <t>Svezia</t>
  </si>
  <si>
    <t>Portogallo</t>
  </si>
  <si>
    <t>Islanda</t>
  </si>
  <si>
    <t>Ungheria</t>
  </si>
  <si>
    <t>Lingua</t>
  </si>
  <si>
    <t>Stadi di gruppo</t>
  </si>
  <si>
    <t>Sede</t>
  </si>
  <si>
    <t>Classifiche</t>
  </si>
  <si>
    <t>Punto</t>
  </si>
  <si>
    <t>Orario</t>
  </si>
  <si>
    <t>Ottavi di 16</t>
  </si>
  <si>
    <t>Semifinali</t>
  </si>
  <si>
    <t>Definitivo</t>
  </si>
  <si>
    <t>Secondo classificato</t>
  </si>
  <si>
    <t>Tempo normale</t>
  </si>
  <si>
    <t>Tempo extra</t>
  </si>
  <si>
    <t>Calcio di rigore</t>
  </si>
  <si>
    <t>Incontro #</t>
  </si>
  <si>
    <t>Gruppo A Vincitore</t>
  </si>
  <si>
    <t>Gruppo B Vincitore</t>
  </si>
  <si>
    <t>Gruppo C Vincitore</t>
  </si>
  <si>
    <t>Vincitore Gruppo D</t>
  </si>
  <si>
    <t>Vincitore Gruppo E</t>
  </si>
  <si>
    <t>Vincitore Gruppo F</t>
  </si>
  <si>
    <t>Gruppo A Runner Up</t>
  </si>
  <si>
    <t>Gruppo B Runner Up</t>
  </si>
  <si>
    <t>Gruppo C Runner Up</t>
  </si>
  <si>
    <t>Gruppo D Runner Up</t>
  </si>
  <si>
    <t>Gruppo E Runner Up</t>
  </si>
  <si>
    <t>Gruppo F Runner Up</t>
  </si>
  <si>
    <t>Partita 37 Vincitore</t>
  </si>
  <si>
    <t>Partita 38 Vincitore</t>
  </si>
  <si>
    <t>Partita 39 Vincitore</t>
  </si>
  <si>
    <t>Partita 40 Vincitore</t>
  </si>
  <si>
    <t>Partita 41 Vincitore</t>
  </si>
  <si>
    <t>Partita 42 Vincitore</t>
  </si>
  <si>
    <t>Partita 43 Vincitore</t>
  </si>
  <si>
    <t>Partita 44 Vincitore</t>
  </si>
  <si>
    <t>Partita 45 Vincitore</t>
  </si>
  <si>
    <t>Partita 46 Vincitore</t>
  </si>
  <si>
    <t>Partita 47 Vincitore</t>
  </si>
  <si>
    <t>Partita 48 Vincitore</t>
  </si>
  <si>
    <t>Partita 49 Vincitore</t>
  </si>
  <si>
    <t>Partita 50 Vincitore</t>
  </si>
  <si>
    <t>Partita 51 Vincitore</t>
  </si>
  <si>
    <t>Visita exceltemplate.net per più modelli e aggiornamenti</t>
  </si>
  <si>
    <t>Euro 2016 Pianificazione e Score Sheet</t>
  </si>
  <si>
    <t>Selezionare il testo che si desidera evidenziare, cancellare per rimuovere evidenziazione</t>
  </si>
  <si>
    <t>Gruppo A</t>
  </si>
  <si>
    <t>Gruppo B</t>
  </si>
  <si>
    <t>Gruppo C</t>
  </si>
  <si>
    <t>Gruppo D</t>
  </si>
  <si>
    <t>Gruppo E</t>
  </si>
  <si>
    <t>Gruppo F</t>
  </si>
  <si>
    <t>Vincere</t>
  </si>
  <si>
    <t>Disegnare</t>
  </si>
  <si>
    <t>Perdere</t>
  </si>
  <si>
    <t>Contro</t>
  </si>
  <si>
    <t>Punti</t>
  </si>
  <si>
    <t>Gruppo B / E / F Third Place</t>
  </si>
  <si>
    <t>Gruppo A / C / D Third Place</t>
  </si>
  <si>
    <t>Gruppo A / B / F Third Place</t>
  </si>
  <si>
    <t>Gruppo C / D / E Terzo Posto</t>
  </si>
  <si>
    <t>Gruppo A-F Third Place Classifiche</t>
  </si>
  <si>
    <t>フランス</t>
  </si>
  <si>
    <t>ルーマニア</t>
  </si>
  <si>
    <t>アルバニア</t>
  </si>
  <si>
    <t>スイス</t>
  </si>
  <si>
    <t>イングランド</t>
  </si>
  <si>
    <t>ロシア</t>
  </si>
  <si>
    <t>ウェールズ</t>
  </si>
  <si>
    <t>スロバキア</t>
  </si>
  <si>
    <t>ドイツ</t>
  </si>
  <si>
    <t>ウクライナ</t>
  </si>
  <si>
    <t>ポーランド</t>
  </si>
  <si>
    <t>北アイルランド</t>
  </si>
  <si>
    <t>スペイン</t>
  </si>
  <si>
    <t>チェコ共和国</t>
  </si>
  <si>
    <t>七面鳥</t>
  </si>
  <si>
    <t>クロアチア</t>
  </si>
  <si>
    <t>ベルギー</t>
  </si>
  <si>
    <t>イタリア</t>
  </si>
  <si>
    <t>アイルランド共和国</t>
  </si>
  <si>
    <t>スウェーデン</t>
  </si>
  <si>
    <t>ポルトガル</t>
  </si>
  <si>
    <t>アイスランド</t>
  </si>
  <si>
    <t>オーストリア</t>
  </si>
  <si>
    <t>ハンガリー</t>
  </si>
  <si>
    <t>言語</t>
  </si>
  <si>
    <t>タイムゾーン</t>
  </si>
  <si>
    <t>グループステージ</t>
  </si>
  <si>
    <t>開催地</t>
  </si>
  <si>
    <t>順位表</t>
  </si>
  <si>
    <t>グループ</t>
  </si>
  <si>
    <t>日付</t>
  </si>
  <si>
    <t>国</t>
  </si>
  <si>
    <t>スコア</t>
  </si>
  <si>
    <t>ラウンド16</t>
  </si>
  <si>
    <t>準々決勝</t>
  </si>
  <si>
    <t>準決勝</t>
  </si>
  <si>
    <t>ファイナル</t>
  </si>
  <si>
    <t>勝者</t>
  </si>
  <si>
    <t>準優勝</t>
  </si>
  <si>
    <t>通常時</t>
  </si>
  <si>
    <t>延長時間</t>
  </si>
  <si>
    <t>ペナルティはシュートアウト</t>
  </si>
  <si>
    <t>チャンピオン</t>
  </si>
  <si>
    <t>一致 ＃</t>
  </si>
  <si>
    <t>グループ受賞</t>
  </si>
  <si>
    <t>グループBの勝者</t>
  </si>
  <si>
    <t>グループC優勝</t>
  </si>
  <si>
    <t>グループDの勝者</t>
  </si>
  <si>
    <t>グループEの勝者</t>
  </si>
  <si>
    <t>グループF優勝</t>
  </si>
  <si>
    <t>グループAランナーアップ</t>
  </si>
  <si>
    <t>グループBランナーアップ</t>
  </si>
  <si>
    <t>グループCランナーアップ</t>
  </si>
  <si>
    <t>グループDランナーアップ</t>
  </si>
  <si>
    <t>グループEランナーアップ</t>
  </si>
  <si>
    <t>グループFランナーアップ</t>
  </si>
  <si>
    <t>マッチ37勝者</t>
  </si>
  <si>
    <t>マッチ38勝者</t>
  </si>
  <si>
    <t>マッチ39勝者</t>
  </si>
  <si>
    <t>マッチ40勝者</t>
  </si>
  <si>
    <t>マッチ41勝者</t>
  </si>
  <si>
    <t>マッチ42勝者</t>
  </si>
  <si>
    <t>マッチ43勝者</t>
  </si>
  <si>
    <t>マッチ44勝者</t>
  </si>
  <si>
    <t>マッチ45勝者</t>
  </si>
  <si>
    <t>マッチ46勝者</t>
  </si>
  <si>
    <t>マッチ47勝者</t>
  </si>
  <si>
    <t>マッチ48勝者</t>
  </si>
  <si>
    <t>マッチ49勝者</t>
  </si>
  <si>
    <t>マッチ50勝者</t>
  </si>
  <si>
    <t>マッチ51勝者</t>
  </si>
  <si>
    <t>複数のテンプレートと更新のためにexceltemplate.net訪問</t>
  </si>
  <si>
    <t>ユーロ2016のスケジュールとスコアシート</t>
  </si>
  <si>
    <t>あなたが強調表示するテキストを選択し、ハイライトを削除するには、削除します</t>
  </si>
  <si>
    <t>グループA</t>
  </si>
  <si>
    <t>グループB</t>
  </si>
  <si>
    <t>グループC</t>
  </si>
  <si>
    <t>グループD</t>
  </si>
  <si>
    <t>グループE</t>
  </si>
  <si>
    <t>グループF</t>
  </si>
  <si>
    <t>勝つ</t>
  </si>
  <si>
    <t>ドロー</t>
  </si>
  <si>
    <t>失う</t>
  </si>
  <si>
    <t>ために</t>
  </si>
  <si>
    <t>に対して</t>
  </si>
  <si>
    <t>ポイント</t>
  </si>
  <si>
    <t>ラウンドをノックアウト</t>
  </si>
  <si>
    <t>グループB / E / F・サード・プレイス</t>
  </si>
  <si>
    <t>グループA / C / Dサード・プレイス</t>
  </si>
  <si>
    <t>グループA / B / F・サード・プレイス</t>
  </si>
  <si>
    <t>グループC / D / Eサード・プレイス</t>
  </si>
  <si>
    <t>グループA-Fサード・プレイス順位表</t>
  </si>
  <si>
    <t>프랑스</t>
  </si>
  <si>
    <t>루마니아</t>
  </si>
  <si>
    <t>알바니아</t>
  </si>
  <si>
    <t>스위스</t>
  </si>
  <si>
    <t>영국</t>
  </si>
  <si>
    <t>러시아 제국</t>
  </si>
  <si>
    <t>웨일즈</t>
  </si>
  <si>
    <t>슬로바키아</t>
  </si>
  <si>
    <t>독일</t>
  </si>
  <si>
    <t>우크라이나</t>
  </si>
  <si>
    <t>폴란드</t>
  </si>
  <si>
    <t>북 아일랜드</t>
  </si>
  <si>
    <t>스페인</t>
  </si>
  <si>
    <t>체코 공화국</t>
  </si>
  <si>
    <t>터키</t>
  </si>
  <si>
    <t>크로아티아</t>
  </si>
  <si>
    <t>벨기에</t>
  </si>
  <si>
    <t>이탈리아</t>
  </si>
  <si>
    <t>아일랜드</t>
  </si>
  <si>
    <t>스웨덴</t>
  </si>
  <si>
    <t>포르투갈</t>
  </si>
  <si>
    <t>아이슬란드</t>
  </si>
  <si>
    <t>오스트리아</t>
  </si>
  <si>
    <t>헝가리</t>
  </si>
  <si>
    <t>언어</t>
  </si>
  <si>
    <t>시간대</t>
  </si>
  <si>
    <t>그룹 스테이지</t>
  </si>
  <si>
    <t>장소</t>
  </si>
  <si>
    <t>순위</t>
  </si>
  <si>
    <t>그룹</t>
  </si>
  <si>
    <t>날짜</t>
  </si>
  <si>
    <t>국가</t>
  </si>
  <si>
    <t>점수</t>
  </si>
  <si>
    <t>시각</t>
  </si>
  <si>
    <t>16 라운드</t>
  </si>
  <si>
    <t>분기 결승</t>
  </si>
  <si>
    <t>세미 파이널</t>
  </si>
  <si>
    <t>결정적인</t>
  </si>
  <si>
    <t>우승자</t>
  </si>
  <si>
    <t>준우승</t>
  </si>
  <si>
    <t>보통 시간</t>
  </si>
  <si>
    <t>추가 시간</t>
  </si>
  <si>
    <t>페널티 아웃 쏴</t>
  </si>
  <si>
    <t>챔피언</t>
  </si>
  <si>
    <t>시합 #</t>
  </si>
  <si>
    <t>그룹 수상작</t>
  </si>
  <si>
    <t>그룹 B 수상작</t>
  </si>
  <si>
    <t>C 조 수상작</t>
  </si>
  <si>
    <t>D 조 승자</t>
  </si>
  <si>
    <t>E 조 수상작</t>
  </si>
  <si>
    <t>그룹 F 수상작</t>
  </si>
  <si>
    <t>그룹 러너 업</t>
  </si>
  <si>
    <t>그룹 B 러너 업</t>
  </si>
  <si>
    <t>C 조 러너 업</t>
  </si>
  <si>
    <t>그룹 D 러너 업</t>
  </si>
  <si>
    <t>그룹 E 러너 업</t>
  </si>
  <si>
    <t>그룹 F 러너 업</t>
  </si>
  <si>
    <t>경기 37 수상작</t>
  </si>
  <si>
    <t>경기 38 수상작</t>
  </si>
  <si>
    <t>경기 39 수상작</t>
  </si>
  <si>
    <t>경기 40 수상작</t>
  </si>
  <si>
    <t>경기 41 수상작</t>
  </si>
  <si>
    <t>경기 42 수상작</t>
  </si>
  <si>
    <t>경기 43 수상작</t>
  </si>
  <si>
    <t>경기 44 수상작</t>
  </si>
  <si>
    <t>경기 45 수상작</t>
  </si>
  <si>
    <t>경기 46 수상작</t>
  </si>
  <si>
    <t>경기 47 수상작</t>
  </si>
  <si>
    <t>경기 48 수상작</t>
  </si>
  <si>
    <t>경기 49 수상작</t>
  </si>
  <si>
    <t>경기 50 수상작</t>
  </si>
  <si>
    <t>경기 51 수상작</t>
  </si>
  <si>
    <t>더 많은 템플릿 및 업데이트를 exceltemplate.net 방문</t>
  </si>
  <si>
    <t>유로 2016 일정 및 점수 시트</t>
  </si>
  <si>
    <t>강조 표시 할 텍스트를 선택, 강조 표시를 제거하려면 삭제</t>
  </si>
  <si>
    <t>그룹 B</t>
  </si>
  <si>
    <t>C 조</t>
  </si>
  <si>
    <t>D 조</t>
  </si>
  <si>
    <t>그룹 E</t>
  </si>
  <si>
    <t>그룹 F</t>
  </si>
  <si>
    <t>승리</t>
  </si>
  <si>
    <t>무승부</t>
  </si>
  <si>
    <t>잃다</t>
  </si>
  <si>
    <t>에 대한</t>
  </si>
  <si>
    <t>에 대하여</t>
  </si>
  <si>
    <t>전철기</t>
  </si>
  <si>
    <t>라운드를 노크</t>
  </si>
  <si>
    <t>그룹 B / E / F 3 위</t>
  </si>
  <si>
    <t>그룹 / C / D 3 위</t>
  </si>
  <si>
    <t>그룹 A / B / F 3 위</t>
  </si>
  <si>
    <t>그룹 C / D / E 3 위</t>
  </si>
  <si>
    <t>그룹 A-F 3 위 순위</t>
  </si>
  <si>
    <t>Prancūzija</t>
  </si>
  <si>
    <t>Šveicarija</t>
  </si>
  <si>
    <t>Anglija</t>
  </si>
  <si>
    <t>Velsas</t>
  </si>
  <si>
    <t>Slovakija</t>
  </si>
  <si>
    <t>Vokietija</t>
  </si>
  <si>
    <t>Lenkija</t>
  </si>
  <si>
    <t>Šiaurės Airija</t>
  </si>
  <si>
    <t>Ispanija</t>
  </si>
  <si>
    <t>Čekijos Respublika</t>
  </si>
  <si>
    <t>Turkija</t>
  </si>
  <si>
    <t>Kroatija</t>
  </si>
  <si>
    <t>Airijos Respublika</t>
  </si>
  <si>
    <t>Švedija</t>
  </si>
  <si>
    <t>Portugalija</t>
  </si>
  <si>
    <t>Islandija</t>
  </si>
  <si>
    <t>Vengrija</t>
  </si>
  <si>
    <t>Kalba</t>
  </si>
  <si>
    <t>Laiko zona</t>
  </si>
  <si>
    <t>Grupės etapai</t>
  </si>
  <si>
    <t>Vieta</t>
  </si>
  <si>
    <t>Turnyrinė lentelė</t>
  </si>
  <si>
    <t>Grupė</t>
  </si>
  <si>
    <t>Diena</t>
  </si>
  <si>
    <t>Šalis</t>
  </si>
  <si>
    <t>Taškai</t>
  </si>
  <si>
    <t>Laikas</t>
  </si>
  <si>
    <t>Apvalaus 16</t>
  </si>
  <si>
    <t>Pusfinalio</t>
  </si>
  <si>
    <t>Baigiamasis</t>
  </si>
  <si>
    <t>Nugalėtojas</t>
  </si>
  <si>
    <t>Antrosios vietos laimėtojai</t>
  </si>
  <si>
    <t>Normalus laikas</t>
  </si>
  <si>
    <t>Papildomas laikas</t>
  </si>
  <si>
    <t>Bauda išnirti</t>
  </si>
  <si>
    <t>Čempionas</t>
  </si>
  <si>
    <t>Varžybos #</t>
  </si>
  <si>
    <t>Grupė A nugalėtojas</t>
  </si>
  <si>
    <t>Grupė B nugalėtojas</t>
  </si>
  <si>
    <t>C grupė Nugalėtojas</t>
  </si>
  <si>
    <t>D grupė Nugalėtojas</t>
  </si>
  <si>
    <t>E grupė Nugalėtojas</t>
  </si>
  <si>
    <t>F grupė Nugalėtojas</t>
  </si>
  <si>
    <t>Grupė A bėgikas Iki</t>
  </si>
  <si>
    <t>B grupė bėgikas Iki</t>
  </si>
  <si>
    <t>C grupė bėgikas Iki</t>
  </si>
  <si>
    <t>D grupė bėgikas Iki</t>
  </si>
  <si>
    <t>E grupė bėgikas Iki</t>
  </si>
  <si>
    <t>F grupė bėgikas Iki</t>
  </si>
  <si>
    <t>Rungtynių nugalėtojas 37</t>
  </si>
  <si>
    <t>Rungtynių nugalėtojas 38</t>
  </si>
  <si>
    <t>Rungtynių nugalėtojas 39</t>
  </si>
  <si>
    <t>Rungtynių nugalėtojas 40</t>
  </si>
  <si>
    <t>Rungtynių nugalėtojas 41</t>
  </si>
  <si>
    <t>Rungtynių nugalėtojas 42</t>
  </si>
  <si>
    <t>Rungtynių nugalėtojas 43</t>
  </si>
  <si>
    <t>Rungtynių nugalėtojas 44</t>
  </si>
  <si>
    <t>Rungtynių nugalėtojas 45</t>
  </si>
  <si>
    <t>Rungtynių nugalėtojas 46</t>
  </si>
  <si>
    <t>Rungtynių nugalėtojas 47</t>
  </si>
  <si>
    <t>Rungtynių nugalėtojas 48</t>
  </si>
  <si>
    <t>Rungtynių nugalėtojas 49</t>
  </si>
  <si>
    <t>Rungtynių nugalėtojas 50</t>
  </si>
  <si>
    <t>Rungtynių nugalėtojas 51</t>
  </si>
  <si>
    <t>Aplankykite exceltemplate.net daugiau šablonų ir atnaujinimai</t>
  </si>
  <si>
    <t>Euro 2016 tvarkaraštis ir rezultatas lapas</t>
  </si>
  <si>
    <t>Pasirinkite tekstą, kurį norite pabrėžti, ištrinti pašalinti akcentą</t>
  </si>
  <si>
    <t>Grupė B</t>
  </si>
  <si>
    <t>Grupė C</t>
  </si>
  <si>
    <t>D frakcijos</t>
  </si>
  <si>
    <t>E grupė</t>
  </si>
  <si>
    <t>F grupė</t>
  </si>
  <si>
    <t>Laimėjimas</t>
  </si>
  <si>
    <t>Atkreipti</t>
  </si>
  <si>
    <t>Pralaimėti</t>
  </si>
  <si>
    <t>Dėl</t>
  </si>
  <si>
    <t>Prieš</t>
  </si>
  <si>
    <t>Išmuštų raundų</t>
  </si>
  <si>
    <t>Grupė B / E / F Trečia vieta</t>
  </si>
  <si>
    <t>Grupė A / C / D Trečia vieta</t>
  </si>
  <si>
    <t>Grupė A / B / F Trečia vieta</t>
  </si>
  <si>
    <t>C grupė / D / E Trečia vieta</t>
  </si>
  <si>
    <t>A-F Grupė Trečia vieta Turnyrinė lentelė</t>
  </si>
  <si>
    <t>Франција</t>
  </si>
  <si>
    <t>Романија</t>
  </si>
  <si>
    <t>Албанија</t>
  </si>
  <si>
    <t>Швајцарија</t>
  </si>
  <si>
    <t>Англија</t>
  </si>
  <si>
    <t>Русија</t>
  </si>
  <si>
    <t>Велс</t>
  </si>
  <si>
    <t>Словачка</t>
  </si>
  <si>
    <t>Германија</t>
  </si>
  <si>
    <t>Украина</t>
  </si>
  <si>
    <t>Полска</t>
  </si>
  <si>
    <t>Северна Ирска</t>
  </si>
  <si>
    <t>Шпанија</t>
  </si>
  <si>
    <t>Република Чешка</t>
  </si>
  <si>
    <t>Турција</t>
  </si>
  <si>
    <t>Хрватска</t>
  </si>
  <si>
    <t>Белгија</t>
  </si>
  <si>
    <t>Италија</t>
  </si>
  <si>
    <t>Република Ирска</t>
  </si>
  <si>
    <t>Шведска</t>
  </si>
  <si>
    <t>Португалија</t>
  </si>
  <si>
    <t>Исланд</t>
  </si>
  <si>
    <t>Австрија</t>
  </si>
  <si>
    <t>Унгарија</t>
  </si>
  <si>
    <t>Јазик</t>
  </si>
  <si>
    <t>Временска зона</t>
  </si>
  <si>
    <t>Група Фази</t>
  </si>
  <si>
    <t>Место</t>
  </si>
  <si>
    <t>Рангирања</t>
  </si>
  <si>
    <t>Датум</t>
  </si>
  <si>
    <t>Земја</t>
  </si>
  <si>
    <t>Круг на 16</t>
  </si>
  <si>
    <t>Четврт финалето</t>
  </si>
  <si>
    <t>Полуфиналето</t>
  </si>
  <si>
    <t>Конечна</t>
  </si>
  <si>
    <t>Победникот</t>
  </si>
  <si>
    <t>Второ место</t>
  </si>
  <si>
    <t>Нормално време</t>
  </si>
  <si>
    <t>Дополнително време</t>
  </si>
  <si>
    <t>Пенали</t>
  </si>
  <si>
    <t>Натпреварот #</t>
  </si>
  <si>
    <t>Група А победник</t>
  </si>
  <si>
    <t>Група Б победник</t>
  </si>
  <si>
    <t>Групата Ц победник</t>
  </si>
  <si>
    <t>Група Д победник</t>
  </si>
  <si>
    <t>Група Е победник</t>
  </si>
  <si>
    <t>Група F победник</t>
  </si>
  <si>
    <t>Група А Второ место</t>
  </si>
  <si>
    <t>Група Б Второ место</t>
  </si>
  <si>
    <t>Групата Ц Второ место</t>
  </si>
  <si>
    <t>Група D Второ место</t>
  </si>
  <si>
    <t>Група Е Второ место</t>
  </si>
  <si>
    <t>Група F Второ место</t>
  </si>
  <si>
    <t>Натпревар 37 Победник</t>
  </si>
  <si>
    <t>Натпревар 38 Победник</t>
  </si>
  <si>
    <t>Натпревар 39 Победник</t>
  </si>
  <si>
    <t>Натпревар 40 Победник</t>
  </si>
  <si>
    <t>Натпревар 41 Победник</t>
  </si>
  <si>
    <t>Натпревар 42 Победник</t>
  </si>
  <si>
    <t>Натпревар 43 Победник</t>
  </si>
  <si>
    <t>Натпревар 44 Победник</t>
  </si>
  <si>
    <t>Натпревар 45 Победник</t>
  </si>
  <si>
    <t>Натпревар 46 Победник</t>
  </si>
  <si>
    <t>Натпревар 47 Победник</t>
  </si>
  <si>
    <t>Натпревар 48 Победник</t>
  </si>
  <si>
    <t>Натпревар 49 Победник</t>
  </si>
  <si>
    <t>Натпревар 50 Победник</t>
  </si>
  <si>
    <t>Натпревар 51 Победник</t>
  </si>
  <si>
    <t>Посетете го exceltemplate.net за повеќе шаблони и новости</t>
  </si>
  <si>
    <t>Евро 2016 Распоред и рејтинг состојба</t>
  </si>
  <si>
    <t>Изберете го текстот што сакате да се потенцира, бришење за да се отстрани врв</t>
  </si>
  <si>
    <t>Група Б</t>
  </si>
  <si>
    <t>Групата Ц</t>
  </si>
  <si>
    <t>Група Д</t>
  </si>
  <si>
    <t>Победа</t>
  </si>
  <si>
    <t>Подготви</t>
  </si>
  <si>
    <t>Изгуби</t>
  </si>
  <si>
    <t>Против</t>
  </si>
  <si>
    <t>Поени</t>
  </si>
  <si>
    <t>Нокаутирам Рунди</t>
  </si>
  <si>
    <t>Група Б / E / F Трето место</t>
  </si>
  <si>
    <t>Група A / C / D Трето место</t>
  </si>
  <si>
    <t>Група А / Б / С Трето место</t>
  </si>
  <si>
    <t>Група C / D / E Трето место</t>
  </si>
  <si>
    <t>Група А-F Трето место Рангирања</t>
  </si>
  <si>
    <t>Ireland Utara</t>
  </si>
  <si>
    <t>Sepanyol</t>
  </si>
  <si>
    <t>Republik Czech</t>
  </si>
  <si>
    <t>Republik Ireland</t>
  </si>
  <si>
    <t>Zon masa</t>
  </si>
  <si>
    <t>Peringkat Kumpulan</t>
  </si>
  <si>
    <t>Tempat</t>
  </si>
  <si>
    <t>Kedudukan</t>
  </si>
  <si>
    <t>Kumpulan</t>
  </si>
  <si>
    <t>Tarikh</t>
  </si>
  <si>
    <t>Masa</t>
  </si>
  <si>
    <t>Pusingan 16</t>
  </si>
  <si>
    <t>Akhir suku</t>
  </si>
  <si>
    <t>Separuh Akhir</t>
  </si>
  <si>
    <t>Akhir</t>
  </si>
  <si>
    <t>Tempat kedua</t>
  </si>
  <si>
    <t>Masa biasa</t>
  </si>
  <si>
    <t>Masa tambahan</t>
  </si>
  <si>
    <t>Penalti Tembak Out</t>
  </si>
  <si>
    <t>Perlawanan #</t>
  </si>
  <si>
    <t>Kumpulan A Winner</t>
  </si>
  <si>
    <t>Kumpulan Pemenang B</t>
  </si>
  <si>
    <t>Kumpulan Pemenang C</t>
  </si>
  <si>
    <t>Kumpulan Pemenang D</t>
  </si>
  <si>
    <t>Kumpulan Pemenang E</t>
  </si>
  <si>
    <t>Kumpulan Pemenang F</t>
  </si>
  <si>
    <t>Kumpulan A Naib Johan</t>
  </si>
  <si>
    <t>Kumpulan B Naib Johan</t>
  </si>
  <si>
    <t>Kumpulan C Naib Johan</t>
  </si>
  <si>
    <t>Kumpulan D Naib Johan</t>
  </si>
  <si>
    <t>Kumpulan E Runner Up</t>
  </si>
  <si>
    <t>Kumpulan F Naib Johan</t>
  </si>
  <si>
    <t>Perlawanan 37 Pemenang</t>
  </si>
  <si>
    <t>Perlawanan 38 Pemenang</t>
  </si>
  <si>
    <t>Perlawanan 39 Pemenang</t>
  </si>
  <si>
    <t>Perlawanan 40 Pemenang</t>
  </si>
  <si>
    <t>Perlawanan 41 Pemenang</t>
  </si>
  <si>
    <t>Perlawanan 42 Pemenang</t>
  </si>
  <si>
    <t>Perlawanan 43 Pemenang</t>
  </si>
  <si>
    <t>Perlawanan 44 Pemenang</t>
  </si>
  <si>
    <t>Perlawanan 45 Pemenang</t>
  </si>
  <si>
    <t>Perlawanan 46 Pemenang</t>
  </si>
  <si>
    <t>Perlawanan 47 Pemenang</t>
  </si>
  <si>
    <t>Perlawanan 48 Pemenang</t>
  </si>
  <si>
    <t>Perlawanan 49 Pemenang</t>
  </si>
  <si>
    <t>Perlawanan 50 Pemenang</t>
  </si>
  <si>
    <t>Perlawanan 51 Pemenang</t>
  </si>
  <si>
    <t>Lawati exceltemplate.net lebih template dan kemas kini</t>
  </si>
  <si>
    <t>Euro 2016 Jadual dan Skor Lembaran</t>
  </si>
  <si>
    <t>Pilih teks yang anda mahu untuk menyerlahkan, memotong untuk membuang Kemuncak</t>
  </si>
  <si>
    <t>Kumpulan A</t>
  </si>
  <si>
    <t>Kumpulan B</t>
  </si>
  <si>
    <t>Kumpulan C</t>
  </si>
  <si>
    <t>Kumpulan D</t>
  </si>
  <si>
    <t>Kumpulan E</t>
  </si>
  <si>
    <t>Kumpulan F</t>
  </si>
  <si>
    <t>Mata</t>
  </si>
  <si>
    <t>Kumpulan B / E / F Tempat Ketiga</t>
  </si>
  <si>
    <t>Kumpulan A / C / D Tempat Ketiga</t>
  </si>
  <si>
    <t>Kumpulan A / B / F Tempat Ketiga</t>
  </si>
  <si>
    <t>Kumpulan C / D / E Tempat Ketiga</t>
  </si>
  <si>
    <t>Kumpulan A-F Ketiga Tempat Kedudukan</t>
  </si>
  <si>
    <t>Franza</t>
  </si>
  <si>
    <t>Ir-Rumanija</t>
  </si>
  <si>
    <t>Isvizzera</t>
  </si>
  <si>
    <t>Russja</t>
  </si>
  <si>
    <t>Is-Slovakkja</t>
  </si>
  <si>
    <t>Il-Ġermanja</t>
  </si>
  <si>
    <t>Il-Polonja</t>
  </si>
  <si>
    <t>Irlanda ta 'Fuq</t>
  </si>
  <si>
    <t>Spanja</t>
  </si>
  <si>
    <t>Repubblika Ċeka</t>
  </si>
  <si>
    <t>Dundjan</t>
  </si>
  <si>
    <t>Kroazja</t>
  </si>
  <si>
    <t>Il-Belġju</t>
  </si>
  <si>
    <t>Italja</t>
  </si>
  <si>
    <t>Repubblika tal-Irlanda</t>
  </si>
  <si>
    <t>Iżvezja</t>
  </si>
  <si>
    <t>L-Awstrija</t>
  </si>
  <si>
    <t>L-Ungerija</t>
  </si>
  <si>
    <t>Lingwa</t>
  </si>
  <si>
    <t>Żona tal-ħin</t>
  </si>
  <si>
    <t>Stadji grupp</t>
  </si>
  <si>
    <t>Post</t>
  </si>
  <si>
    <t>Klassifika</t>
  </si>
  <si>
    <t>Grupp</t>
  </si>
  <si>
    <t>Pajjiż</t>
  </si>
  <si>
    <t>Ħin</t>
  </si>
  <si>
    <t>Round ta '16</t>
  </si>
  <si>
    <t>Kwarti Finali</t>
  </si>
  <si>
    <t>Finals Semi</t>
  </si>
  <si>
    <t>Finali</t>
  </si>
  <si>
    <t>Rebbieħ</t>
  </si>
  <si>
    <t>Ħin normali</t>
  </si>
  <si>
    <t>Ħin Extra</t>
  </si>
  <si>
    <t>Piena rimja out</t>
  </si>
  <si>
    <t>Grupp A Rebbieħ</t>
  </si>
  <si>
    <t>Grupp B Rebbieħ</t>
  </si>
  <si>
    <t>Grupp C Rebbieħ</t>
  </si>
  <si>
    <t>Grupp D Rebbieħ</t>
  </si>
  <si>
    <t>Grupp E Rebbieħ</t>
  </si>
  <si>
    <t>Grupp F Rebbieħ</t>
  </si>
  <si>
    <t>Grupp A Runner Up</t>
  </si>
  <si>
    <t>Grupp B Runner Up</t>
  </si>
  <si>
    <t>Grupp C Runner Up</t>
  </si>
  <si>
    <t>Grupp D Runner Up</t>
  </si>
  <si>
    <t>Grupp E Runner Up</t>
  </si>
  <si>
    <t>Grupp F Runner Up</t>
  </si>
  <si>
    <t>Match 37 Rebbieħ</t>
  </si>
  <si>
    <t>Match 38 Rebbieħ</t>
  </si>
  <si>
    <t>Match 39 Rebbieħ</t>
  </si>
  <si>
    <t>Match 40 Rebbieħ</t>
  </si>
  <si>
    <t>Match 41 Rebbieħ</t>
  </si>
  <si>
    <t>Match 42 Rebbieħ</t>
  </si>
  <si>
    <t>Match 43 Rebbieħ</t>
  </si>
  <si>
    <t>Match 44 Rebbieħ</t>
  </si>
  <si>
    <t>Match 45 Rebbieħ</t>
  </si>
  <si>
    <t>Match 46 Rebbieħ</t>
  </si>
  <si>
    <t>Match 47 Rebbieħ</t>
  </si>
  <si>
    <t>Match 48 Rebbieħ</t>
  </si>
  <si>
    <t>Match 49 Rebbieħ</t>
  </si>
  <si>
    <t>Match 50 Rebbieħ</t>
  </si>
  <si>
    <t>Match 51 Rebbieħ</t>
  </si>
  <si>
    <t>Żur exceltemplate.net għal aktar mudelli u aġġornamenti</t>
  </si>
  <si>
    <t>Euro 2016 Skeda u Score Sheet</t>
  </si>
  <si>
    <t>Tagħżel it-test inti tixtieq li tenfasizza, iħassru biex jitneħħew jenfasizzaw</t>
  </si>
  <si>
    <t>Grupp A</t>
  </si>
  <si>
    <t>Grupp B</t>
  </si>
  <si>
    <t>Grupp C</t>
  </si>
  <si>
    <t>Grupp D</t>
  </si>
  <si>
    <t>Grupp E</t>
  </si>
  <si>
    <t>Grupp F</t>
  </si>
  <si>
    <t>Iġbed</t>
  </si>
  <si>
    <t>Għal</t>
  </si>
  <si>
    <t>Kontra</t>
  </si>
  <si>
    <t>Knock Out rawnds</t>
  </si>
  <si>
    <t>Grupp B / E / F tielet post</t>
  </si>
  <si>
    <t>Grupp A / C / D Tielet Post</t>
  </si>
  <si>
    <t>Grupp A / B / F tielet post</t>
  </si>
  <si>
    <t>Grupp C / D / E Tielet Post</t>
  </si>
  <si>
    <t>Grupp A-F Tielet Post standings</t>
  </si>
  <si>
    <t>Франц</t>
  </si>
  <si>
    <t>Румын</t>
  </si>
  <si>
    <t>Албани</t>
  </si>
  <si>
    <t>Швейцарь</t>
  </si>
  <si>
    <t>Английн</t>
  </si>
  <si>
    <t>ОХУ-ын</t>
  </si>
  <si>
    <t>Уэльсийн</t>
  </si>
  <si>
    <t>Словак</t>
  </si>
  <si>
    <t>Герман</t>
  </si>
  <si>
    <t>Украйны</t>
  </si>
  <si>
    <t>Польш</t>
  </si>
  <si>
    <t>Хойд Ирланд</t>
  </si>
  <si>
    <t>Испани</t>
  </si>
  <si>
    <t>Чех</t>
  </si>
  <si>
    <t>Турк</t>
  </si>
  <si>
    <t>Хорват</t>
  </si>
  <si>
    <t>Бельги</t>
  </si>
  <si>
    <t>Итали</t>
  </si>
  <si>
    <t>Ирландын Бүгд Найрамдах Улс</t>
  </si>
  <si>
    <t>Швед</t>
  </si>
  <si>
    <t>Португал</t>
  </si>
  <si>
    <t>Австри</t>
  </si>
  <si>
    <t>Унгар</t>
  </si>
  <si>
    <t>Хэл</t>
  </si>
  <si>
    <t>Цагийн бүс</t>
  </si>
  <si>
    <t>Групп үе шатууд</t>
  </si>
  <si>
    <t>Хаана</t>
  </si>
  <si>
    <t>Зогссон</t>
  </si>
  <si>
    <t>Бүлэг</t>
  </si>
  <si>
    <t>Огноо</t>
  </si>
  <si>
    <t>Улс</t>
  </si>
  <si>
    <t>Оноо</t>
  </si>
  <si>
    <t>Цаг хугацаа</t>
  </si>
  <si>
    <t>16 дугуй</t>
  </si>
  <si>
    <t>Улирал шигшээ</t>
  </si>
  <si>
    <t>Хагас шигшээ</t>
  </si>
  <si>
    <t>Төгсгөлийн</t>
  </si>
  <si>
    <t>Ялагч</t>
  </si>
  <si>
    <t>Дээш гүйгч</t>
  </si>
  <si>
    <t>Хэвийн цаг</t>
  </si>
  <si>
    <t>Нэмэлт цаг</t>
  </si>
  <si>
    <t>Торгуулийн гарч гөлөг</t>
  </si>
  <si>
    <t>Аварга</t>
  </si>
  <si>
    <t>Хүсч байгаа эд зүйлс #</t>
  </si>
  <si>
    <t>Групп нь ялагч</t>
  </si>
  <si>
    <t>B хэсэг ялагч</t>
  </si>
  <si>
    <t>С хэсэг ялагч</t>
  </si>
  <si>
    <t>D хэсэг ялагч</t>
  </si>
  <si>
    <t>Е хэсгийн ялагч</t>
  </si>
  <si>
    <t>F хэсэг ялагч</t>
  </si>
  <si>
    <t>А хэсэг Runner хүртэл</t>
  </si>
  <si>
    <t>B хэсэг Runner хүртэл</t>
  </si>
  <si>
    <t>С хэсэг Runner хүртэл</t>
  </si>
  <si>
    <t>D хэсэг Runner хүртэл</t>
  </si>
  <si>
    <t>Бүлгийн И Runner хүртэл</t>
  </si>
  <si>
    <t>F хэсэг Runner хүртэл</t>
  </si>
  <si>
    <t>Хүсч байгаа эд зүйлс 37 ялагч</t>
  </si>
  <si>
    <t>Хүсч байгаа эд зүйлс 38 ялагч</t>
  </si>
  <si>
    <t>Хүсч байгаа эд зүйлс 39 ялагч</t>
  </si>
  <si>
    <t>Хүсч байгаа эд зүйлс 40 ялагч</t>
  </si>
  <si>
    <t>Хүсч байгаа эд зүйлс 41 ялагч</t>
  </si>
  <si>
    <t>Хүсч байгаа эд зүйлс 42 ялагч</t>
  </si>
  <si>
    <t>Хүсч байгаа эд зүйлс 43 ялагч</t>
  </si>
  <si>
    <t>Хүсч байгаа эд зүйлс 44 ялагч</t>
  </si>
  <si>
    <t>Хүсч байгаа эд зүйлс 45 ялагч</t>
  </si>
  <si>
    <t>Хүсч байгаа эд зүйлс 46 ялагч</t>
  </si>
  <si>
    <t>Хүсч байгаа эд зүйлс 47 ялагч</t>
  </si>
  <si>
    <t>Хүсч байгаа эд зүйлс 48 ялагч</t>
  </si>
  <si>
    <t>Хүсч байгаа эд зүйлс 49 ялагч</t>
  </si>
  <si>
    <t>Хүсч байгаа эд зүйлс 50 ялагч</t>
  </si>
  <si>
    <t>Хүсч байгаа эд зүйлс 51 ялагч</t>
  </si>
  <si>
    <t>Дэлгэрэнгүй маягтуудыг болон шинэчлэлтүүд нь exceltemplate.net зочилно</t>
  </si>
  <si>
    <t>Евро 2016 хуваарь болон Оноо хуудас</t>
  </si>
  <si>
    <t>Та тодруулахыг хүсэж текстийг сонгох, тодотгодог устгах, устгах</t>
  </si>
  <si>
    <t>А хэсэг</t>
  </si>
  <si>
    <t>B хэсэг</t>
  </si>
  <si>
    <t>C хэсэг</t>
  </si>
  <si>
    <t>D хэсэг</t>
  </si>
  <si>
    <t>И групп</t>
  </si>
  <si>
    <t>F хэсэг</t>
  </si>
  <si>
    <t>Зураад</t>
  </si>
  <si>
    <t>Алдах</t>
  </si>
  <si>
    <t>Учир нь</t>
  </si>
  <si>
    <t>Эсрэг</t>
  </si>
  <si>
    <t>Удаа гарч тогшино</t>
  </si>
  <si>
    <t>B хэсэг / E / F Гурав дахь газар</t>
  </si>
  <si>
    <t>Бүлэг A / C / D Гурав дахь газар</t>
  </si>
  <si>
    <t>Бүлэг A / B / F Гурав дахь газар</t>
  </si>
  <si>
    <t>C хэсэг / D / E Гурав дахь газар</t>
  </si>
  <si>
    <t>А хэсэг-F гурав дахь газар зогссон</t>
  </si>
  <si>
    <t>Frankrike</t>
  </si>
  <si>
    <t>Sveits</t>
  </si>
  <si>
    <t>Nord-Irland</t>
  </si>
  <si>
    <t>Spania</t>
  </si>
  <si>
    <t>Tsjekkisk Republikk</t>
  </si>
  <si>
    <t>Republikken Irland</t>
  </si>
  <si>
    <t>Østerrike</t>
  </si>
  <si>
    <t>Språk</t>
  </si>
  <si>
    <t>Tidssone</t>
  </si>
  <si>
    <t>Gruppespillet</t>
  </si>
  <si>
    <t>Spillested</t>
  </si>
  <si>
    <t>Plasseringer</t>
  </si>
  <si>
    <t>Kvartfinale</t>
  </si>
  <si>
    <t>Endelige</t>
  </si>
  <si>
    <t>Vinner</t>
  </si>
  <si>
    <t>Kamp #</t>
  </si>
  <si>
    <t>Gruppe B Vinner</t>
  </si>
  <si>
    <t>Gruppe C Vinner</t>
  </si>
  <si>
    <t>Gruppe D Vinner</t>
  </si>
  <si>
    <t>Gruppe E Vinner</t>
  </si>
  <si>
    <t>Gruppe F Vinner</t>
  </si>
  <si>
    <t>Kamp 37 Vinner</t>
  </si>
  <si>
    <t>Kamp 38 Vinner</t>
  </si>
  <si>
    <t>Kamp 39 Vinner</t>
  </si>
  <si>
    <t>Kamp 40 Vinner</t>
  </si>
  <si>
    <t>Kamp 41 Vinner</t>
  </si>
  <si>
    <t>Kamp 42 Vinner</t>
  </si>
  <si>
    <t>Kamp 43 Vinner</t>
  </si>
  <si>
    <t>Kamp 44 Vinner</t>
  </si>
  <si>
    <t>Kamp 45 Vinner</t>
  </si>
  <si>
    <t>Kamp 46 Vinner</t>
  </si>
  <si>
    <t>Kamp 47 Vinner</t>
  </si>
  <si>
    <t>Kamp 48 Vinner</t>
  </si>
  <si>
    <t>Kamp 49 Vinner</t>
  </si>
  <si>
    <t>Kamp 50 Vinner</t>
  </si>
  <si>
    <t>Kamp 51 Vinner</t>
  </si>
  <si>
    <t>Besøk exceltemplate.net for flere maler og oppdateringer</t>
  </si>
  <si>
    <t>Euro 2 016 Tidsplan og Score Sheet</t>
  </si>
  <si>
    <t>Velg teksten du ønsker å fremheve, slett for å fjerne høydepunkt</t>
  </si>
  <si>
    <t>Vinne</t>
  </si>
  <si>
    <t>Å tape</t>
  </si>
  <si>
    <t>Til</t>
  </si>
  <si>
    <t>Imot</t>
  </si>
  <si>
    <t>Poeng</t>
  </si>
  <si>
    <t>Gruppe A / C / D Third Place</t>
  </si>
  <si>
    <t>Gruppe A / B / F Third Place</t>
  </si>
  <si>
    <t>Gruppe C / D / E Third Place</t>
  </si>
  <si>
    <t>Gruppe A-F Third Place Standings</t>
  </si>
  <si>
    <t>فرانسه</t>
  </si>
  <si>
    <t>رومانی</t>
  </si>
  <si>
    <t>آلبانی</t>
  </si>
  <si>
    <t>سوئیس</t>
  </si>
  <si>
    <t>انگلستان</t>
  </si>
  <si>
    <t>روسیه</t>
  </si>
  <si>
    <t>ولز</t>
  </si>
  <si>
    <t>اسلواکی</t>
  </si>
  <si>
    <t>آلمان</t>
  </si>
  <si>
    <t>اوکراین</t>
  </si>
  <si>
    <t>لهستان</t>
  </si>
  <si>
    <t>ایرلند شمالی</t>
  </si>
  <si>
    <t>اسپانیا</t>
  </si>
  <si>
    <t>جمهوری چک</t>
  </si>
  <si>
    <t>بوقلمون</t>
  </si>
  <si>
    <t>کرواسی</t>
  </si>
  <si>
    <t>بلژیک</t>
  </si>
  <si>
    <t>ایتالیا</t>
  </si>
  <si>
    <t>جمهوری ایرلند</t>
  </si>
  <si>
    <t>سوئد</t>
  </si>
  <si>
    <t>کشور پرتغال</t>
  </si>
  <si>
    <t>ایسلند</t>
  </si>
  <si>
    <t>اتریش</t>
  </si>
  <si>
    <t>مجارستان</t>
  </si>
  <si>
    <t>زبان</t>
  </si>
  <si>
    <t>منطقه زمانی</t>
  </si>
  <si>
    <t>مرحله گروهی</t>
  </si>
  <si>
    <t>محل برگزاری</t>
  </si>
  <si>
    <t>جدول رده بندی</t>
  </si>
  <si>
    <t>گروه</t>
  </si>
  <si>
    <t>تاریخ</t>
  </si>
  <si>
    <t>کشور</t>
  </si>
  <si>
    <t>نمره</t>
  </si>
  <si>
    <t>زمان</t>
  </si>
  <si>
    <t>دور 16</t>
  </si>
  <si>
    <t>یک چهارم نهایی</t>
  </si>
  <si>
    <t>نیمه نهایی</t>
  </si>
  <si>
    <t>نهایی</t>
  </si>
  <si>
    <t>برنده</t>
  </si>
  <si>
    <t>دونده به بالا</t>
  </si>
  <si>
    <t>زمان عادی</t>
  </si>
  <si>
    <t>زمان اضافی</t>
  </si>
  <si>
    <t>ضربات پنالتی</t>
  </si>
  <si>
    <t>قهرمان</t>
  </si>
  <si>
    <t>همخوانی داشتن #</t>
  </si>
  <si>
    <t>گروه برنده</t>
  </si>
  <si>
    <t>گروه B برنده</t>
  </si>
  <si>
    <t>گروه C برنده</t>
  </si>
  <si>
    <t>گروه D برنده</t>
  </si>
  <si>
    <t>گروه E برنده</t>
  </si>
  <si>
    <t>گروه F برنده</t>
  </si>
  <si>
    <t>گروه یک دونده تا</t>
  </si>
  <si>
    <t>گروه B دونده</t>
  </si>
  <si>
    <t>گروه C دونده</t>
  </si>
  <si>
    <t>گروه D دونده</t>
  </si>
  <si>
    <t>گروه E دونده</t>
  </si>
  <si>
    <t>گروه F دونده</t>
  </si>
  <si>
    <t>بازی 37 برنده</t>
  </si>
  <si>
    <t>مسابقه 38 برنده</t>
  </si>
  <si>
    <t>بازی 39 برنده</t>
  </si>
  <si>
    <t>بازی 40 برنده</t>
  </si>
  <si>
    <t>بازی 41 برنده</t>
  </si>
  <si>
    <t>بازی 42 برنده</t>
  </si>
  <si>
    <t>بازی 43 برنده</t>
  </si>
  <si>
    <t>بازی 44 برنده</t>
  </si>
  <si>
    <t>بازی 45 برنده</t>
  </si>
  <si>
    <t>بازی 46 برنده</t>
  </si>
  <si>
    <t>بازی 47 برنده</t>
  </si>
  <si>
    <t>بازی 48 برنده</t>
  </si>
  <si>
    <t>بازی 49 برنده</t>
  </si>
  <si>
    <t>بازی 50 برنده</t>
  </si>
  <si>
    <t>بازی 51 برنده</t>
  </si>
  <si>
    <t>مشاهده exceltemplate.net برای قالب های بیشتر و به روز رسانی</t>
  </si>
  <si>
    <t>یورو 2016 برنامه و امتیاز ورق</t>
  </si>
  <si>
    <t>متن را انتخاب کنید شما می خواهید به برجسته، حذف به حذف برجسته</t>
  </si>
  <si>
    <t>گروه A</t>
  </si>
  <si>
    <t>گروه B</t>
  </si>
  <si>
    <t>گروه C</t>
  </si>
  <si>
    <t>گروه D</t>
  </si>
  <si>
    <t>گروه E</t>
  </si>
  <si>
    <t>گروه F</t>
  </si>
  <si>
    <t>پیروزی</t>
  </si>
  <si>
    <t>قرعه کشی</t>
  </si>
  <si>
    <t>از دست دادن</t>
  </si>
  <si>
    <t>برای</t>
  </si>
  <si>
    <t>در برابر</t>
  </si>
  <si>
    <t>امتیاز</t>
  </si>
  <si>
    <t>دست کشیدن از تورهای آخر هفته</t>
  </si>
  <si>
    <t>گروه B / E / F رتبه سوم</t>
  </si>
  <si>
    <t>گروه A / C / D رتبه سوم</t>
  </si>
  <si>
    <t>گروه A / B / F رتبه سوم</t>
  </si>
  <si>
    <t>گروه C / D / E رتبه سوم</t>
  </si>
  <si>
    <t>گروه A-F سوم جدول رده بندی محل</t>
  </si>
  <si>
    <t>Francja</t>
  </si>
  <si>
    <t>Rumunia</t>
  </si>
  <si>
    <t>Szwajcaria</t>
  </si>
  <si>
    <t>Rosja</t>
  </si>
  <si>
    <t>Walia</t>
  </si>
  <si>
    <t>Słowacja</t>
  </si>
  <si>
    <t>Niemcy</t>
  </si>
  <si>
    <t>Polska</t>
  </si>
  <si>
    <t>Irlandia Północna</t>
  </si>
  <si>
    <t>Hiszpania</t>
  </si>
  <si>
    <t>Czechy</t>
  </si>
  <si>
    <t>Turcja</t>
  </si>
  <si>
    <t>Chorwacja</t>
  </si>
  <si>
    <t>Włochy</t>
  </si>
  <si>
    <t>Republika Irlandii</t>
  </si>
  <si>
    <t>Szwecja</t>
  </si>
  <si>
    <t>Portugalia</t>
  </si>
  <si>
    <t>Węgry</t>
  </si>
  <si>
    <t>Język</t>
  </si>
  <si>
    <t>Strefa czasowa</t>
  </si>
  <si>
    <t>Etapy grupowe</t>
  </si>
  <si>
    <t>Miejsce spotkania</t>
  </si>
  <si>
    <t>Tabele</t>
  </si>
  <si>
    <t>Grupa</t>
  </si>
  <si>
    <t>Kraj</t>
  </si>
  <si>
    <t>Wynik</t>
  </si>
  <si>
    <t>Czas</t>
  </si>
  <si>
    <t>Runda 16</t>
  </si>
  <si>
    <t>Ćwierćfinały</t>
  </si>
  <si>
    <t>Półfinały</t>
  </si>
  <si>
    <t>Finał</t>
  </si>
  <si>
    <t>Zwycięzca</t>
  </si>
  <si>
    <t>Normalny czas</t>
  </si>
  <si>
    <t>Dodatkowy czas</t>
  </si>
  <si>
    <t>Rzut karny</t>
  </si>
  <si>
    <t>Mistrz</t>
  </si>
  <si>
    <t>Mecz #</t>
  </si>
  <si>
    <t>Grupa A Zwycięzca</t>
  </si>
  <si>
    <t>Grupa B Zwycięzca</t>
  </si>
  <si>
    <t>Grupa C Zwycięzca</t>
  </si>
  <si>
    <t>Grupa D Zwycięzca</t>
  </si>
  <si>
    <t>Grupa E Zwycięzca</t>
  </si>
  <si>
    <t>Grupa F Zwycięzca</t>
  </si>
  <si>
    <t>Grupa A Runner Up</t>
  </si>
  <si>
    <t>Grupa B Runner Up</t>
  </si>
  <si>
    <t>Grupa C Runner Up</t>
  </si>
  <si>
    <t>Grupa D Runner Up</t>
  </si>
  <si>
    <t>Grupa E Runner Up</t>
  </si>
  <si>
    <t>Grupa F Runner Up</t>
  </si>
  <si>
    <t>Mecz 37 Zwycięzca</t>
  </si>
  <si>
    <t>Mecz 38 Zwycięzca</t>
  </si>
  <si>
    <t>Mecz 39 Zwycięzca</t>
  </si>
  <si>
    <t>Mecz 40 Zwycięzca</t>
  </si>
  <si>
    <t>Mecz 41 Zwycięzca</t>
  </si>
  <si>
    <t>Mecz 42 Zwycięzca</t>
  </si>
  <si>
    <t>Mecz 43 Zwycięzca</t>
  </si>
  <si>
    <t>Mecz 44 Zwycięzca</t>
  </si>
  <si>
    <t>Mecz 45 Zwycięzca</t>
  </si>
  <si>
    <t>Mecz 46 Zwycięzca</t>
  </si>
  <si>
    <t>Mecz 47 Zwycięzca</t>
  </si>
  <si>
    <t>Mecz 48 Zwycięzca</t>
  </si>
  <si>
    <t>Mecz 49 Zwycięzca</t>
  </si>
  <si>
    <t>Mecz 50 Zwycięzca</t>
  </si>
  <si>
    <t>Mecz 51 Zwycięzca</t>
  </si>
  <si>
    <t>Odwiedź exceltemplate.net więcej szablonów i aktualizacji</t>
  </si>
  <si>
    <t>Euro 2016 Terminarz i Score Sheet</t>
  </si>
  <si>
    <t>Zaznacz tekst, który chcesz zaznaczyć, usuwania, aby usunąć zaznaczenie</t>
  </si>
  <si>
    <t>Grupa A</t>
  </si>
  <si>
    <t>Grupa B</t>
  </si>
  <si>
    <t>Grupa C</t>
  </si>
  <si>
    <t>Grupa D</t>
  </si>
  <si>
    <t>Grupa E</t>
  </si>
  <si>
    <t>Grupa F</t>
  </si>
  <si>
    <t>Zdobyć</t>
  </si>
  <si>
    <t>rysować</t>
  </si>
  <si>
    <t>Stracić</t>
  </si>
  <si>
    <t>Dla</t>
  </si>
  <si>
    <t>Przeciwko</t>
  </si>
  <si>
    <t>Zwrotnica</t>
  </si>
  <si>
    <t>Knock Out Policzone</t>
  </si>
  <si>
    <t>Grupa B / E / F Trzecie miejsce</t>
  </si>
  <si>
    <t>Grupa A / C / D Trzecie miejsce</t>
  </si>
  <si>
    <t>Grupa A / B / F Trzecie miejsce</t>
  </si>
  <si>
    <t>Grupa C / D / E Third Place</t>
  </si>
  <si>
    <t>Grupa A-F Trzecie miejsce Klasyfikacja</t>
  </si>
  <si>
    <t>Romênia</t>
  </si>
  <si>
    <t>Albânia</t>
  </si>
  <si>
    <t>Suíça</t>
  </si>
  <si>
    <t>País de Gales</t>
  </si>
  <si>
    <t>Eslováquia</t>
  </si>
  <si>
    <t>Alemanha</t>
  </si>
  <si>
    <t>Ucrânia</t>
  </si>
  <si>
    <t>Polônia</t>
  </si>
  <si>
    <t>Irlanda do Norte</t>
  </si>
  <si>
    <t>Espanha</t>
  </si>
  <si>
    <t>República Checa</t>
  </si>
  <si>
    <t>Peru</t>
  </si>
  <si>
    <t>Croácia</t>
  </si>
  <si>
    <t>Bélgica</t>
  </si>
  <si>
    <t>Itália</t>
  </si>
  <si>
    <t>República da Irlanda</t>
  </si>
  <si>
    <t>Suécia</t>
  </si>
  <si>
    <t>Islândia</t>
  </si>
  <si>
    <t>Áustria</t>
  </si>
  <si>
    <t>Hungria</t>
  </si>
  <si>
    <t>Fuso horário</t>
  </si>
  <si>
    <t>Foro</t>
  </si>
  <si>
    <t>Classificações</t>
  </si>
  <si>
    <t>Encontro</t>
  </si>
  <si>
    <t>Ponto</t>
  </si>
  <si>
    <t>Tempo</t>
  </si>
  <si>
    <t>Quartas de final</t>
  </si>
  <si>
    <t>Vencedora</t>
  </si>
  <si>
    <t>Vice-campeão</t>
  </si>
  <si>
    <t>Tempo normal</t>
  </si>
  <si>
    <t>Pênaltis</t>
  </si>
  <si>
    <t>Campeão</t>
  </si>
  <si>
    <t>Combine #</t>
  </si>
  <si>
    <t>Grupo A Winner</t>
  </si>
  <si>
    <t>Grupo B Vencedor</t>
  </si>
  <si>
    <t>Grupo C Vencedor</t>
  </si>
  <si>
    <t>Vencedor do Grupo D</t>
  </si>
  <si>
    <t>Vencedor Grupo E</t>
  </si>
  <si>
    <t>Vencedor do Grupo F</t>
  </si>
  <si>
    <t>Grupo A Runner Up</t>
  </si>
  <si>
    <t>Grupo B Runner Up</t>
  </si>
  <si>
    <t>Grupo C Runner Up</t>
  </si>
  <si>
    <t>Grupo D Runner Up</t>
  </si>
  <si>
    <t>Grupo E Runner Up</t>
  </si>
  <si>
    <t>Grupo F Runner Up</t>
  </si>
  <si>
    <t>Jogo 37 Winner</t>
  </si>
  <si>
    <t>Jogo 38 Winner</t>
  </si>
  <si>
    <t>Jogo 39 Winner</t>
  </si>
  <si>
    <t>Jogo 40 Winner</t>
  </si>
  <si>
    <t>Jogo 41 Winner</t>
  </si>
  <si>
    <t>Jogo 42 Winner</t>
  </si>
  <si>
    <t>Jogo 43 Winner</t>
  </si>
  <si>
    <t>Jogo 44 Winner</t>
  </si>
  <si>
    <t>Jogo 45 Winner</t>
  </si>
  <si>
    <t>Jogo 46 Winner</t>
  </si>
  <si>
    <t>Jogo 47 Winner</t>
  </si>
  <si>
    <t>Jogo 48 Winner</t>
  </si>
  <si>
    <t>Jogo 49 Winner</t>
  </si>
  <si>
    <t>Jogo 50 Winner</t>
  </si>
  <si>
    <t>Jogo 51 Winner</t>
  </si>
  <si>
    <t>Visite exceltemplate.net para mais modelos e atualizações</t>
  </si>
  <si>
    <t>Euro 2016 Horário e Folha de Pontuação</t>
  </si>
  <si>
    <t>Selecione o texto que deseja realçar, exclua para remover destaque</t>
  </si>
  <si>
    <t>Grupo A</t>
  </si>
  <si>
    <t>Grupo B</t>
  </si>
  <si>
    <t>Grupo C</t>
  </si>
  <si>
    <t>Grupo D</t>
  </si>
  <si>
    <t>Grupo E</t>
  </si>
  <si>
    <t>Grupo F</t>
  </si>
  <si>
    <t>Ganhar</t>
  </si>
  <si>
    <t>Desenhar</t>
  </si>
  <si>
    <t>Perder</t>
  </si>
  <si>
    <t>Para</t>
  </si>
  <si>
    <t>Contra</t>
  </si>
  <si>
    <t>Pontos</t>
  </si>
  <si>
    <t>Bata para fora Rondas</t>
  </si>
  <si>
    <t>Grupo B / E / F Terceiro lugar</t>
  </si>
  <si>
    <t>Grupo A / C / D Terceiro lugar</t>
  </si>
  <si>
    <t>O grupo A / B / F terceiro lugar</t>
  </si>
  <si>
    <t>Grupo C / D / E Terceiro Lugar</t>
  </si>
  <si>
    <t>Grupo A-F Terceiro lugar Standings</t>
  </si>
  <si>
    <t>Portuguese</t>
  </si>
  <si>
    <t>Franţa</t>
  </si>
  <si>
    <t>România</t>
  </si>
  <si>
    <t>Elveţia</t>
  </si>
  <si>
    <t>Țara Galilor</t>
  </si>
  <si>
    <t>Slovacia</t>
  </si>
  <si>
    <t>Irlanda de Nord</t>
  </si>
  <si>
    <t>Republica Cehă</t>
  </si>
  <si>
    <t>Curcan</t>
  </si>
  <si>
    <t>Croaţia</t>
  </si>
  <si>
    <t>Republica Irlanda</t>
  </si>
  <si>
    <t>Suedia</t>
  </si>
  <si>
    <t>Ungaria</t>
  </si>
  <si>
    <t>Limba</t>
  </si>
  <si>
    <t>Fus orar</t>
  </si>
  <si>
    <t>Faza grupelor</t>
  </si>
  <si>
    <t>Loc de întâlnire</t>
  </si>
  <si>
    <t>Clasamentul</t>
  </si>
  <si>
    <t>Ţară</t>
  </si>
  <si>
    <t>Scor</t>
  </si>
  <si>
    <t>Timp</t>
  </si>
  <si>
    <t>Runda de 16</t>
  </si>
  <si>
    <t>Sferturile de finală</t>
  </si>
  <si>
    <t>Câştigător</t>
  </si>
  <si>
    <t>Competitorul de pe locul 2</t>
  </si>
  <si>
    <t>Timpul normal</t>
  </si>
  <si>
    <t>Timp suplimentar</t>
  </si>
  <si>
    <t>Campion</t>
  </si>
  <si>
    <t>Meci #</t>
  </si>
  <si>
    <t>Grupa A Câștigător</t>
  </si>
  <si>
    <t>Grupa B Winner</t>
  </si>
  <si>
    <t>Grupa C Winner</t>
  </si>
  <si>
    <t>Grupa D Winner</t>
  </si>
  <si>
    <t>Grupa E Winner</t>
  </si>
  <si>
    <t>Grupa F Winner</t>
  </si>
  <si>
    <t>Câștigătorul meci 37</t>
  </si>
  <si>
    <t>Câștigătorul meci 38</t>
  </si>
  <si>
    <t>Câștigătorul meci 39</t>
  </si>
  <si>
    <t>Câștigătorul meci 40</t>
  </si>
  <si>
    <t>Câștigătorul meci 41</t>
  </si>
  <si>
    <t>Câștigătorul meci 42</t>
  </si>
  <si>
    <t>Câștigătorul meci 43</t>
  </si>
  <si>
    <t>Câștigătorul meci 44</t>
  </si>
  <si>
    <t>Câștigătorul meci 45</t>
  </si>
  <si>
    <t>Câștigătorul meci 46</t>
  </si>
  <si>
    <t>Câștigătorul meci 47</t>
  </si>
  <si>
    <t>Câștigătorul meci 48</t>
  </si>
  <si>
    <t>Câștigătorul meci 49</t>
  </si>
  <si>
    <t>Meci de 50 Winner</t>
  </si>
  <si>
    <t>Câștigătorul meci 51</t>
  </si>
  <si>
    <t>Vizitați exceltemplate.net pentru mai multe template-uri și actualizări</t>
  </si>
  <si>
    <t>Euro 2,016 Program și scorul Sheet</t>
  </si>
  <si>
    <t>Selectează textul pe care doriți să evidențiați, șterge pentru a îndepărta evidenția</t>
  </si>
  <si>
    <t>A castiga</t>
  </si>
  <si>
    <t>A desena</t>
  </si>
  <si>
    <t>Pierde</t>
  </si>
  <si>
    <t>Pentru</t>
  </si>
  <si>
    <t>Împotriva</t>
  </si>
  <si>
    <t>Puncte</t>
  </si>
  <si>
    <t>Knock Out Runde</t>
  </si>
  <si>
    <t>Grupa B / E / F a treia Locul</t>
  </si>
  <si>
    <t>Grupa A / C / D a treia Locul</t>
  </si>
  <si>
    <t>Grupa A / B / F a treia Locul</t>
  </si>
  <si>
    <t>Grupa C / D / E al treilea loc</t>
  </si>
  <si>
    <t>Grupa A-F a treia Locul Clasamente</t>
  </si>
  <si>
    <t>Румыния</t>
  </si>
  <si>
    <t>Россия</t>
  </si>
  <si>
    <t>Уэльс</t>
  </si>
  <si>
    <t>Польша</t>
  </si>
  <si>
    <t>Северная Ирландия</t>
  </si>
  <si>
    <t>Чешская Республика</t>
  </si>
  <si>
    <t>Хорватия</t>
  </si>
  <si>
    <t>Бельгия</t>
  </si>
  <si>
    <t>Ирландская республика</t>
  </si>
  <si>
    <t>Венгрия</t>
  </si>
  <si>
    <t>Язык</t>
  </si>
  <si>
    <t>Часовой пояс</t>
  </si>
  <si>
    <t>Группа Этапы</t>
  </si>
  <si>
    <t>Место встречи</t>
  </si>
  <si>
    <t>Таблица</t>
  </si>
  <si>
    <t>Группа</t>
  </si>
  <si>
    <t>Гол</t>
  </si>
  <si>
    <t>Время</t>
  </si>
  <si>
    <t>Круглый 16</t>
  </si>
  <si>
    <t>Четвертьфинал</t>
  </si>
  <si>
    <t>Полуфиналы</t>
  </si>
  <si>
    <t>Окончательный</t>
  </si>
  <si>
    <t>Победитель</t>
  </si>
  <si>
    <t>Занявший второе место</t>
  </si>
  <si>
    <t>Нормальная Время</t>
  </si>
  <si>
    <t>Дополнительное время</t>
  </si>
  <si>
    <t>Пенальти</t>
  </si>
  <si>
    <t>Чемпион</t>
  </si>
  <si>
    <t>Совпадение #</t>
  </si>
  <si>
    <t>Победитель группы А</t>
  </si>
  <si>
    <t>Победитель группы B</t>
  </si>
  <si>
    <t>Группа Победитель С</t>
  </si>
  <si>
    <t>Победитель группы D</t>
  </si>
  <si>
    <t>Группа E Победитель</t>
  </si>
  <si>
    <t>Группа F Победитель</t>
  </si>
  <si>
    <t>Группа А бегун</t>
  </si>
  <si>
    <t>Группа B второе место</t>
  </si>
  <si>
    <t>Группа C второе место</t>
  </si>
  <si>
    <t>Группа D бегун</t>
  </si>
  <si>
    <t>Группа E бегун</t>
  </si>
  <si>
    <t>Группа F бегун</t>
  </si>
  <si>
    <t>Матч 37 Победитель</t>
  </si>
  <si>
    <t>Матч 38 Победитель</t>
  </si>
  <si>
    <t>Матч 39 Победитель</t>
  </si>
  <si>
    <t>Матч 40 Победитель</t>
  </si>
  <si>
    <t>Матч 41 Победитель</t>
  </si>
  <si>
    <t>Матч 42 Победитель</t>
  </si>
  <si>
    <t>Матч 43 Победитель</t>
  </si>
  <si>
    <t>Матч 44 Победитель</t>
  </si>
  <si>
    <t>Матч 45 Победитель</t>
  </si>
  <si>
    <t>Матч 46 Победитель</t>
  </si>
  <si>
    <t>Матч 47 Победитель</t>
  </si>
  <si>
    <t>Матч 48 Победитель</t>
  </si>
  <si>
    <t>Матч 49 Победитель</t>
  </si>
  <si>
    <t>Матч 50 Победитель</t>
  </si>
  <si>
    <t>Матч 51 Победитель</t>
  </si>
  <si>
    <t>Посетить exceltemplate.net для более шаблонов и обновлений</t>
  </si>
  <si>
    <t>Евро-2016 Расписание и оценка лист</t>
  </si>
  <si>
    <t>Выберите текст, который вы хотите, чтобы выделить, удалить удалить блик</t>
  </si>
  <si>
    <t>Группа A</t>
  </si>
  <si>
    <t>Группа B</t>
  </si>
  <si>
    <t>Группа C</t>
  </si>
  <si>
    <t>Группа D</t>
  </si>
  <si>
    <t>Группа E</t>
  </si>
  <si>
    <t>Группа F</t>
  </si>
  <si>
    <t>Выиграть</t>
  </si>
  <si>
    <t>Привлечь</t>
  </si>
  <si>
    <t>Потерять</t>
  </si>
  <si>
    <t>Для</t>
  </si>
  <si>
    <t>Knock Out раундов</t>
  </si>
  <si>
    <t>Группа B / E / F третье место</t>
  </si>
  <si>
    <t>Группа A / C / D третье место</t>
  </si>
  <si>
    <t>Группа A / B / F третье место</t>
  </si>
  <si>
    <t>Группа C / D / E Третье место</t>
  </si>
  <si>
    <t>Группа A-F третье место Турнирная таблица</t>
  </si>
  <si>
    <t>Француска</t>
  </si>
  <si>
    <t>Румунија</t>
  </si>
  <si>
    <t>Швајцарска</t>
  </si>
  <si>
    <t>Енглеска</t>
  </si>
  <si>
    <t>Немачка</t>
  </si>
  <si>
    <t>Украјина</t>
  </si>
  <si>
    <t>Пољска</t>
  </si>
  <si>
    <t>Severna Irska</t>
  </si>
  <si>
    <t>Češka</t>
  </si>
  <si>
    <t>Турска</t>
  </si>
  <si>
    <t>Аустрија</t>
  </si>
  <si>
    <t>Мађарска</t>
  </si>
  <si>
    <t>Језик</t>
  </si>
  <si>
    <t>Група Фазе</t>
  </si>
  <si>
    <t>Табела</t>
  </si>
  <si>
    <t>Скупина</t>
  </si>
  <si>
    <t>Земља</t>
  </si>
  <si>
    <t>Пут</t>
  </si>
  <si>
    <t>Роунд оф 16</t>
  </si>
  <si>
    <t>Куартер Финалс</t>
  </si>
  <si>
    <t>Семи Финалс</t>
  </si>
  <si>
    <t>Финале</t>
  </si>
  <si>
    <t>Победник</t>
  </si>
  <si>
    <t>Drugoplasirani</t>
  </si>
  <si>
    <t>Dodatno vreme</t>
  </si>
  <si>
    <t>Пеналти Схоот Оут</t>
  </si>
  <si>
    <t>Utakmica #</t>
  </si>
  <si>
    <t>Група А Побједник</t>
  </si>
  <si>
    <t>Група Б Победник</t>
  </si>
  <si>
    <t>Група Ц Победник</t>
  </si>
  <si>
    <t>Група Д Побједник</t>
  </si>
  <si>
    <t>Група Е Победник</t>
  </si>
  <si>
    <t>Група Ф Победник</t>
  </si>
  <si>
    <t>Група А Руннер Уп</t>
  </si>
  <si>
    <t>Група Б Руннер Уп</t>
  </si>
  <si>
    <t>Група Ц Руннер Уп</t>
  </si>
  <si>
    <t>Група Д Руннер Уп</t>
  </si>
  <si>
    <t>Група Е Руннер Уп</t>
  </si>
  <si>
    <t>Група Ф Руннер Уп</t>
  </si>
  <si>
    <t>Победник меча 37</t>
  </si>
  <si>
    <t>Победник меча 38</t>
  </si>
  <si>
    <t>Победник меча 39</t>
  </si>
  <si>
    <t>Победник меча 40</t>
  </si>
  <si>
    <t>Победник меча 41</t>
  </si>
  <si>
    <t>Победник меча 42</t>
  </si>
  <si>
    <t>Победник меча 43</t>
  </si>
  <si>
    <t>Победник меча 44</t>
  </si>
  <si>
    <t>Победник меча 45</t>
  </si>
  <si>
    <t>Победник меча 46</t>
  </si>
  <si>
    <t>Победник меча 47</t>
  </si>
  <si>
    <t>Победник меча 48</t>
  </si>
  <si>
    <t>Победник меча 49</t>
  </si>
  <si>
    <t>Победник меча 50</t>
  </si>
  <si>
    <t>Победник меча 51</t>
  </si>
  <si>
    <t>Посетите екцелтемплате.нет за више шаблона и ажурирања</t>
  </si>
  <si>
    <t>Евро 2016 Распоред и записник</t>
  </si>
  <si>
    <t>Изаберите текст који желите да означите, брисање да бисте уклонили врхунац</t>
  </si>
  <si>
    <t>Група Ц</t>
  </si>
  <si>
    <t>Група Е</t>
  </si>
  <si>
    <t>Група Ф</t>
  </si>
  <si>
    <t>Pobediti</t>
  </si>
  <si>
    <t>Нацртати</t>
  </si>
  <si>
    <t>Изгубити</t>
  </si>
  <si>
    <t>Због</t>
  </si>
  <si>
    <t>Противно</t>
  </si>
  <si>
    <t>Бодови</t>
  </si>
  <si>
    <t>Кноцк Оут Роундс</t>
  </si>
  <si>
    <t>Група Б / Е / Ф Треће место</t>
  </si>
  <si>
    <t>Група А / Ц / Д Треће место</t>
  </si>
  <si>
    <t>Група А / Б / Ф Треће место</t>
  </si>
  <si>
    <t>Група Ц / Д / Е Треће место</t>
  </si>
  <si>
    <t>Група А-П Треће место Табела</t>
  </si>
  <si>
    <t>Francúzsko</t>
  </si>
  <si>
    <t>Rumunsko</t>
  </si>
  <si>
    <t>Albánsko</t>
  </si>
  <si>
    <t>Švajčiarsko</t>
  </si>
  <si>
    <t>Anglicko</t>
  </si>
  <si>
    <t>Rusko</t>
  </si>
  <si>
    <t>Slovensko</t>
  </si>
  <si>
    <t>Nemecko</t>
  </si>
  <si>
    <t>Poľsko</t>
  </si>
  <si>
    <t>Severné Írsko</t>
  </si>
  <si>
    <t>Španielsko</t>
  </si>
  <si>
    <t>Česká republika</t>
  </si>
  <si>
    <t>Turecko</t>
  </si>
  <si>
    <t>Chorvátsko</t>
  </si>
  <si>
    <t>Belgicko</t>
  </si>
  <si>
    <t>Taliansko</t>
  </si>
  <si>
    <t>Írsko</t>
  </si>
  <si>
    <t>Švédsko</t>
  </si>
  <si>
    <t>Portugalsko</t>
  </si>
  <si>
    <t>Rakúsko</t>
  </si>
  <si>
    <t>Maďarsko</t>
  </si>
  <si>
    <t>Jazyk</t>
  </si>
  <si>
    <t>Časové pásmo</t>
  </si>
  <si>
    <t>Skupina Etapy</t>
  </si>
  <si>
    <t>Miesto</t>
  </si>
  <si>
    <t>Poradie</t>
  </si>
  <si>
    <t>Krajiny</t>
  </si>
  <si>
    <t>Skóre</t>
  </si>
  <si>
    <t>Doba</t>
  </si>
  <si>
    <t>16. kole</t>
  </si>
  <si>
    <t>Štvrťfinále</t>
  </si>
  <si>
    <t>Semifinále</t>
  </si>
  <si>
    <t>Výherca</t>
  </si>
  <si>
    <t>Bežec</t>
  </si>
  <si>
    <t>Extra čas</t>
  </si>
  <si>
    <t>Skupina A Víťaz</t>
  </si>
  <si>
    <t>Skupina B Víťaz</t>
  </si>
  <si>
    <t>Skupina C Víťaz</t>
  </si>
  <si>
    <t>Skupina D Víťaz</t>
  </si>
  <si>
    <t>Skupina E Víťaz</t>
  </si>
  <si>
    <t>Skupina F Víťaz</t>
  </si>
  <si>
    <t>Skupina A Runner Up</t>
  </si>
  <si>
    <t>Skupina B Runner Up</t>
  </si>
  <si>
    <t>Skupina C Runner Up</t>
  </si>
  <si>
    <t>Skupina D Runner Up</t>
  </si>
  <si>
    <t>Skupina E Runner Up</t>
  </si>
  <si>
    <t>Skupina F Runner Up</t>
  </si>
  <si>
    <t>Víťaz zápasu 37</t>
  </si>
  <si>
    <t>Víťaz zápasu 38</t>
  </si>
  <si>
    <t>Víťaz zápasu 39</t>
  </si>
  <si>
    <t>Víťaz zápasu 40</t>
  </si>
  <si>
    <t>Víťaz zápasu 41</t>
  </si>
  <si>
    <t>Víťaz zápasu 42</t>
  </si>
  <si>
    <t>Víťaz zápasu 43</t>
  </si>
  <si>
    <t>Víťaz zápasu 44</t>
  </si>
  <si>
    <t>Víťaz zápasu 45</t>
  </si>
  <si>
    <t>Víťaz zápasu 46</t>
  </si>
  <si>
    <t>Víťaz zápasu 47</t>
  </si>
  <si>
    <t>Víťaz zápasu 48</t>
  </si>
  <si>
    <t>Víťaz zápasu 49</t>
  </si>
  <si>
    <t>Víťaz zápasu 50</t>
  </si>
  <si>
    <t>Víťaz zápasu 51</t>
  </si>
  <si>
    <t>Navštívte exceltemplate.net pre viac šablón a aktualizácie</t>
  </si>
  <si>
    <t>Euro 2.016 Plán a Skóre Sheet</t>
  </si>
  <si>
    <t>Vyberte text, ktorý chcete zvýrazniť, vymazať odstrániť zvýraznenie</t>
  </si>
  <si>
    <t>Čerpať</t>
  </si>
  <si>
    <t>Prehrať</t>
  </si>
  <si>
    <t>Pre</t>
  </si>
  <si>
    <t>Proti</t>
  </si>
  <si>
    <t>Body</t>
  </si>
  <si>
    <t>Skupina B / E / F tretie miesto</t>
  </si>
  <si>
    <t>Skupina A / C / D Tretie miesto</t>
  </si>
  <si>
    <t>Skupina A / B / F tretie miesto</t>
  </si>
  <si>
    <t>Skupina C / D / E tretie miesto</t>
  </si>
  <si>
    <t>Skupina A-F Tretie miesto Poradie</t>
  </si>
  <si>
    <t>Francija</t>
  </si>
  <si>
    <t>Romunija</t>
  </si>
  <si>
    <t>Švica</t>
  </si>
  <si>
    <t>Slovaška</t>
  </si>
  <si>
    <t>Nemčija</t>
  </si>
  <si>
    <t>puran</t>
  </si>
  <si>
    <t>Hrvaška</t>
  </si>
  <si>
    <t>Portugalska</t>
  </si>
  <si>
    <t>Avstrija</t>
  </si>
  <si>
    <t>Madžarska</t>
  </si>
  <si>
    <t>Časovni pas</t>
  </si>
  <si>
    <t>Faze Group</t>
  </si>
  <si>
    <t>Lestvica</t>
  </si>
  <si>
    <t>Država</t>
  </si>
  <si>
    <t>Ocena</t>
  </si>
  <si>
    <t>Čas</t>
  </si>
  <si>
    <t>Krog 16</t>
  </si>
  <si>
    <t>Četrtfinalu</t>
  </si>
  <si>
    <t>Polfinale</t>
  </si>
  <si>
    <t>Zmagovalec</t>
  </si>
  <si>
    <t>Normalno čas</t>
  </si>
  <si>
    <t>Skupina A zmagovalec</t>
  </si>
  <si>
    <t>Skupina B Zmagovalec</t>
  </si>
  <si>
    <t>Skupina C Zmagovalec</t>
  </si>
  <si>
    <t>Skupina D Zmagovalec</t>
  </si>
  <si>
    <t>Skupina E Zmagovalec</t>
  </si>
  <si>
    <t>Skupina F Zmagovalec</t>
  </si>
  <si>
    <t>Match 37 Zmagovalec</t>
  </si>
  <si>
    <t>Match 38 Zmagovalec</t>
  </si>
  <si>
    <t>Match 39 Zmagovalec</t>
  </si>
  <si>
    <t>Match 40 Zmagovalec</t>
  </si>
  <si>
    <t>Match 41 Zmagovalec</t>
  </si>
  <si>
    <t>Match 42 Zmagovalec</t>
  </si>
  <si>
    <t>Match 43 Zmagovalec</t>
  </si>
  <si>
    <t>Match 44 Zmagovalec</t>
  </si>
  <si>
    <t>Match 45 Zmagovalec</t>
  </si>
  <si>
    <t>Match 46 Zmagovalec</t>
  </si>
  <si>
    <t>Match 47 Zmagovalec</t>
  </si>
  <si>
    <t>Match 48 Zmagovalec</t>
  </si>
  <si>
    <t>Match 49 Zmagovalec</t>
  </si>
  <si>
    <t>Match 50 Zmagovalec</t>
  </si>
  <si>
    <t>Match 51 Zmagovalec</t>
  </si>
  <si>
    <t>Obiščite exceltemplate.net za več predlogah in posodobitve</t>
  </si>
  <si>
    <t>Euro 2016 Urnik in Score Sheet</t>
  </si>
  <si>
    <t>Izberite besedilo, ki ga želite poudariti, brisanje odstraniti vrhunec</t>
  </si>
  <si>
    <t>Zmaga</t>
  </si>
  <si>
    <t>Točke</t>
  </si>
  <si>
    <t>Skupina B / E / F Tretje mesto</t>
  </si>
  <si>
    <t>Skupina A / C / D Tretje mesto</t>
  </si>
  <si>
    <t>Skupina A / B / F Tretje mesto</t>
  </si>
  <si>
    <t>Skupina C / D / E Tretje mesto</t>
  </si>
  <si>
    <t>Skupina A-F Tretje mesto Lestvica</t>
  </si>
  <si>
    <t>Gales</t>
  </si>
  <si>
    <t>Eslovaquia</t>
  </si>
  <si>
    <t>Alemania</t>
  </si>
  <si>
    <t>Ucrania</t>
  </si>
  <si>
    <t>Irlanda del Norte</t>
  </si>
  <si>
    <t>pavo</t>
  </si>
  <si>
    <t>Republica de Irlanda</t>
  </si>
  <si>
    <t>Suecia</t>
  </si>
  <si>
    <t>Hungría</t>
  </si>
  <si>
    <t>idioma</t>
  </si>
  <si>
    <t>Zona horaria</t>
  </si>
  <si>
    <t>Etapas del Grupo</t>
  </si>
  <si>
    <t>Lugar de encuentro</t>
  </si>
  <si>
    <t>Tabla de posiciones</t>
  </si>
  <si>
    <t>Puntuación</t>
  </si>
  <si>
    <t>Tiempo normal</t>
  </si>
  <si>
    <t>Tiempo adicional</t>
  </si>
  <si>
    <t>Juego #</t>
  </si>
  <si>
    <t>Grupo A Ganador</t>
  </si>
  <si>
    <t>Grupo B Ganador</t>
  </si>
  <si>
    <t>Grupo C Ganador</t>
  </si>
  <si>
    <t>Grupo D Ganador</t>
  </si>
  <si>
    <t>Grupo E Ganador</t>
  </si>
  <si>
    <t>Grupo F Ganador</t>
  </si>
  <si>
    <t>Grupo A Finalista</t>
  </si>
  <si>
    <t>Grupo B Finalista</t>
  </si>
  <si>
    <t>Grupo C Finalista</t>
  </si>
  <si>
    <t>Grupo D Finalista</t>
  </si>
  <si>
    <t>Grupo E Finalista</t>
  </si>
  <si>
    <t>Grupo F Finalista</t>
  </si>
  <si>
    <t>Partido 37 Ganador</t>
  </si>
  <si>
    <t>Partido 38 Ganador</t>
  </si>
  <si>
    <t>Partido 39 Ganador</t>
  </si>
  <si>
    <t>Partido 40 Ganador</t>
  </si>
  <si>
    <t>Partido 41 Ganador</t>
  </si>
  <si>
    <t>Partido 42 Ganador</t>
  </si>
  <si>
    <t>Partido 43 Ganador</t>
  </si>
  <si>
    <t>Partido 44 Ganador</t>
  </si>
  <si>
    <t>Partido 45 Ganador</t>
  </si>
  <si>
    <t>Partido 46 Ganador</t>
  </si>
  <si>
    <t>Partido 47 Ganador</t>
  </si>
  <si>
    <t>Partido 48 Ganador</t>
  </si>
  <si>
    <t>Partido 49 Ganador</t>
  </si>
  <si>
    <t>Partido 50 Ganador</t>
  </si>
  <si>
    <t>Partido 51 Ganador</t>
  </si>
  <si>
    <t>Visita exceltemplate.net para más plantillas y actualizaciones</t>
  </si>
  <si>
    <t>Euro 2016 Horario y Score Hoja</t>
  </si>
  <si>
    <t>Seleccione el texto que desea resaltar, borrar para eliminar más destacado</t>
  </si>
  <si>
    <t>Ganar</t>
  </si>
  <si>
    <t>Dibujar</t>
  </si>
  <si>
    <t>por</t>
  </si>
  <si>
    <t>En contra</t>
  </si>
  <si>
    <t>Puntos</t>
  </si>
  <si>
    <t>Knock Out Rondas</t>
  </si>
  <si>
    <t>Grupo B / E / F Tercer lugar</t>
  </si>
  <si>
    <t>Grupo A / C / D Tercer lugar</t>
  </si>
  <si>
    <t>Grupo A / B / F Tercer lugar</t>
  </si>
  <si>
    <t>Grupo C / D / E Tercer lugar</t>
  </si>
  <si>
    <t>Grupo A-F Tercer Lugar Clasificación</t>
  </si>
  <si>
    <t>frankrike</t>
  </si>
  <si>
    <t>rumänien</t>
  </si>
  <si>
    <t>albanien</t>
  </si>
  <si>
    <t>schweiz</t>
  </si>
  <si>
    <t>england</t>
  </si>
  <si>
    <t>ryssland</t>
  </si>
  <si>
    <t>wales</t>
  </si>
  <si>
    <t>Slovakien</t>
  </si>
  <si>
    <t>tyskland</t>
  </si>
  <si>
    <t>polen</t>
  </si>
  <si>
    <t>Norra Irland</t>
  </si>
  <si>
    <t>spanien</t>
  </si>
  <si>
    <t>Tjeckien</t>
  </si>
  <si>
    <t>kalkon</t>
  </si>
  <si>
    <t>kroatien</t>
  </si>
  <si>
    <t>belgien</t>
  </si>
  <si>
    <t>italien</t>
  </si>
  <si>
    <t>sverige</t>
  </si>
  <si>
    <t>portugal</t>
  </si>
  <si>
    <t>island</t>
  </si>
  <si>
    <t>österrike</t>
  </si>
  <si>
    <t>Ungern</t>
  </si>
  <si>
    <t>Tidszon</t>
  </si>
  <si>
    <t>Gruppspel</t>
  </si>
  <si>
    <t>Mötesplats</t>
  </si>
  <si>
    <t>Göra</t>
  </si>
  <si>
    <t>Kvartsfinal</t>
  </si>
  <si>
    <t>Semifinaler</t>
  </si>
  <si>
    <t>Slutlig</t>
  </si>
  <si>
    <t>Vinnare</t>
  </si>
  <si>
    <t>Tvåan</t>
  </si>
  <si>
    <t>Extra tid</t>
  </si>
  <si>
    <t>Mästare</t>
  </si>
  <si>
    <t>Grupp A Vinnare</t>
  </si>
  <si>
    <t>Grupp B Winner</t>
  </si>
  <si>
    <t>Grupp C Winner</t>
  </si>
  <si>
    <t>Grupp D Winner</t>
  </si>
  <si>
    <t>Grupp E Vinnare</t>
  </si>
  <si>
    <t>Grupp F Vinnare</t>
  </si>
  <si>
    <t>Match 37 års</t>
  </si>
  <si>
    <t>Match 38 års</t>
  </si>
  <si>
    <t>Match 39 års</t>
  </si>
  <si>
    <t>Match 40 Vinnare</t>
  </si>
  <si>
    <t>Match 41 års</t>
  </si>
  <si>
    <t>Match 42 års</t>
  </si>
  <si>
    <t>Match 43 års</t>
  </si>
  <si>
    <t>Match 44 års</t>
  </si>
  <si>
    <t>Match 45 års</t>
  </si>
  <si>
    <t>Match 46 års</t>
  </si>
  <si>
    <t>Match 47 års</t>
  </si>
  <si>
    <t>Match 48 års</t>
  </si>
  <si>
    <t>Match 49 års</t>
  </si>
  <si>
    <t>Match 50 Vinnare</t>
  </si>
  <si>
    <t>Match 51 års</t>
  </si>
  <si>
    <t>Besök exceltemplate.net för fler mallar och uppdateringar</t>
  </si>
  <si>
    <t>Euro 2016 Schema och poängark</t>
  </si>
  <si>
    <t>Markera text du vill framhäva, ta bort för att ta bort markeringen</t>
  </si>
  <si>
    <t>Vinna</t>
  </si>
  <si>
    <t>Dra</t>
  </si>
  <si>
    <t>Förlora</t>
  </si>
  <si>
    <t>För</t>
  </si>
  <si>
    <t>Mot</t>
  </si>
  <si>
    <t>Poäng</t>
  </si>
  <si>
    <t>Grupp B / E / F Tredje plats</t>
  </si>
  <si>
    <t>Grupp A / C / D Tredje plats</t>
  </si>
  <si>
    <t>Grupp A / B / F Tredje plats</t>
  </si>
  <si>
    <t>Grupp C / D / E Tredje plats</t>
  </si>
  <si>
    <t>Grupp A-F Third Place Stand</t>
  </si>
  <si>
    <t>ฝรั่งเศส</t>
  </si>
  <si>
    <t>โรมาเนีย</t>
  </si>
  <si>
    <t>แอลเบเนีย</t>
  </si>
  <si>
    <t>ประเทศสวิสเซอร์แลนด์</t>
  </si>
  <si>
    <t>อังกฤษ</t>
  </si>
  <si>
    <t>รัสเซีย</t>
  </si>
  <si>
    <t>เวลส์</t>
  </si>
  <si>
    <t>สโลวะเกีย</t>
  </si>
  <si>
    <t>ประเทศเยอรมัน</t>
  </si>
  <si>
    <t>ยูเครน</t>
  </si>
  <si>
    <t>โปแลนด์</t>
  </si>
  <si>
    <t>ไอร์แลนด์เหนือ</t>
  </si>
  <si>
    <t>สเปน</t>
  </si>
  <si>
    <t>สาธารณรัฐเช็ก</t>
  </si>
  <si>
    <t>ตุรกี</t>
  </si>
  <si>
    <t>โครเอเชีย</t>
  </si>
  <si>
    <t>ประเทศเบลเยียม</t>
  </si>
  <si>
    <t>อิตาลี</t>
  </si>
  <si>
    <t>สาธารณรัฐไอร์แลนด์</t>
  </si>
  <si>
    <t>สวีเดน</t>
  </si>
  <si>
    <t>โปรตุเกส</t>
  </si>
  <si>
    <t>ประเทศไอซ์แลนด์</t>
  </si>
  <si>
    <t>ออสเตรีย</t>
  </si>
  <si>
    <t>ฮังการี</t>
  </si>
  <si>
    <t>ภาษา</t>
  </si>
  <si>
    <t>เขตเวลา</t>
  </si>
  <si>
    <t>ขั้นตอนกลุ่ม</t>
  </si>
  <si>
    <t>สถานที่จัดงาน</t>
  </si>
  <si>
    <t>ตารางคะแนน</t>
  </si>
  <si>
    <t>กลุ่ม</t>
  </si>
  <si>
    <t>วันที่</t>
  </si>
  <si>
    <t>ประเทศ</t>
  </si>
  <si>
    <t>คะแนน</t>
  </si>
  <si>
    <t>เวลา</t>
  </si>
  <si>
    <t>รอบ 16</t>
  </si>
  <si>
    <t>รอบรองชนะเลิศ</t>
  </si>
  <si>
    <t>รอบชิงชนะเลิศกึ่ง</t>
  </si>
  <si>
    <t>สุดท้าย</t>
  </si>
  <si>
    <t>ผู้ชนะเลิศ</t>
  </si>
  <si>
    <t>วิ่งขึ้น</t>
  </si>
  <si>
    <t>เวลาปกติ</t>
  </si>
  <si>
    <t>เวลาพิเศษ</t>
  </si>
  <si>
    <t>โทษยิงออก</t>
  </si>
  <si>
    <t>แชมป์</t>
  </si>
  <si>
    <t>การจับคู่ #</t>
  </si>
  <si>
    <t>กลุ่มผู้ชนะเลิศ</t>
  </si>
  <si>
    <t>กลุ่ม B ผู้ชนะ</t>
  </si>
  <si>
    <t>กลุ่ม C ชนะเลิศ</t>
  </si>
  <si>
    <t>กลุ่ม D ผู้ชนะ</t>
  </si>
  <si>
    <t>กลุ่มอีผู้ชนะ</t>
  </si>
  <si>
    <t>กลุ่ม F ผู้ชนะ</t>
  </si>
  <si>
    <t>กลุ่มวิ่งขึ้น</t>
  </si>
  <si>
    <t>กลุ่ม B วิ่งขึ้น</t>
  </si>
  <si>
    <t>กลุ่ม C วิ่งขึ้น</t>
  </si>
  <si>
    <t>กลุ่ม D วิ่งขึ้น</t>
  </si>
  <si>
    <t>กลุ่ม E วิ่งขึ้น</t>
  </si>
  <si>
    <t>กลุ่ม F วิ่งขึ้น</t>
  </si>
  <si>
    <t>ผู้ชนะเลิศการแข่งขัน 37</t>
  </si>
  <si>
    <t>ผู้ชนะเลิศการแข่งขัน 38</t>
  </si>
  <si>
    <t>ผู้ชนะเลิศการแข่งขัน 39</t>
  </si>
  <si>
    <t>ผู้ชนะเลิศการแข่งขัน 40</t>
  </si>
  <si>
    <t>ผู้ชนะเลิศการแข่งขัน 41</t>
  </si>
  <si>
    <t>ผู้ชนะเลิศการแข่งขัน 42</t>
  </si>
  <si>
    <t>ผู้ชนะเลิศการแข่งขัน 43</t>
  </si>
  <si>
    <t>ผู้ชนะเลิศการแข่งขัน 44</t>
  </si>
  <si>
    <t>ผู้ชนะเลิศการแข่งขัน 45</t>
  </si>
  <si>
    <t>ผู้ชนะเลิศการแข่งขัน 46</t>
  </si>
  <si>
    <t>ผู้ชนะเลิศการแข่งขัน 47</t>
  </si>
  <si>
    <t>ผู้ชนะเลิศการแข่งขัน 48</t>
  </si>
  <si>
    <t>ผู้ชนะเลิศการแข่งขัน 49</t>
  </si>
  <si>
    <t>ผู้ชนะเลิศการแข่งขัน 50</t>
  </si>
  <si>
    <t>ผู้ชนะเลิศการแข่งขัน 51</t>
  </si>
  <si>
    <t>เยี่ยมชม exceltemplate.net สำหรับแม่แบบเพิ่มเติมและการปรับปรุง</t>
  </si>
  <si>
    <t>ยูโร 2016 กำหนดการและคะแนนแผ่น</t>
  </si>
  <si>
    <t>เลือกข้อความที่คุณต้องการเน้นลบที่จะเอาไฮไลท์</t>
  </si>
  <si>
    <t>กลุ่ม A</t>
  </si>
  <si>
    <t>กลุ่ม B</t>
  </si>
  <si>
    <t>กลุ่ม C</t>
  </si>
  <si>
    <t>กลุ่ม D</t>
  </si>
  <si>
    <t>กลุ่ม E</t>
  </si>
  <si>
    <t>กลุ่ม F</t>
  </si>
  <si>
    <t>ชนะ</t>
  </si>
  <si>
    <t>วาด</t>
  </si>
  <si>
    <t>สูญเสีย</t>
  </si>
  <si>
    <t>สำหรับ</t>
  </si>
  <si>
    <t>ต่อต้าน</t>
  </si>
  <si>
    <t>จุด</t>
  </si>
  <si>
    <t>Knock Out รอบ</t>
  </si>
  <si>
    <t>กลุ่ม B / E / F ที่สาม</t>
  </si>
  <si>
    <t>กลุ่ม A / C / D ที่สาม</t>
  </si>
  <si>
    <t>กลุ่ม A / B / F ที่สาม</t>
  </si>
  <si>
    <t>กลุ่ม C / D / E ที่สาม</t>
  </si>
  <si>
    <t>กลุ่ม A-F สามอันดับ</t>
  </si>
  <si>
    <t>Fransa</t>
  </si>
  <si>
    <t>Romanya</t>
  </si>
  <si>
    <t>Arnavutluk</t>
  </si>
  <si>
    <t>İsviçre</t>
  </si>
  <si>
    <t>İngiltere</t>
  </si>
  <si>
    <t>Rusya</t>
  </si>
  <si>
    <t>Galler</t>
  </si>
  <si>
    <t>Slovakya</t>
  </si>
  <si>
    <t>Almanya</t>
  </si>
  <si>
    <t>Ukrayna</t>
  </si>
  <si>
    <t>Polonya</t>
  </si>
  <si>
    <t>Kuzey Irlanda</t>
  </si>
  <si>
    <t>İspanya</t>
  </si>
  <si>
    <t>Çek Cumhuriyeti</t>
  </si>
  <si>
    <t>Türkiye</t>
  </si>
  <si>
    <t>Hırvatistan</t>
  </si>
  <si>
    <t>Belçika</t>
  </si>
  <si>
    <t>İtalya</t>
  </si>
  <si>
    <t>irlanda Cumhuriyeti</t>
  </si>
  <si>
    <t>İsveç</t>
  </si>
  <si>
    <t>Portekiz</t>
  </si>
  <si>
    <t>İzlanda</t>
  </si>
  <si>
    <t>Avusturya</t>
  </si>
  <si>
    <t>Macaristan</t>
  </si>
  <si>
    <t>Dil</t>
  </si>
  <si>
    <t>Saat dilimi</t>
  </si>
  <si>
    <t>Grup Aşamaları</t>
  </si>
  <si>
    <t>Mekan</t>
  </si>
  <si>
    <t>Sıralamalar</t>
  </si>
  <si>
    <t>Tarih</t>
  </si>
  <si>
    <t>Ülke</t>
  </si>
  <si>
    <t>Gol</t>
  </si>
  <si>
    <t>Zaman</t>
  </si>
  <si>
    <t>16 Round</t>
  </si>
  <si>
    <t>Çeyrek finaller</t>
  </si>
  <si>
    <t>Yarı Finalleri</t>
  </si>
  <si>
    <t>Galip</t>
  </si>
  <si>
    <t>İkinci</t>
  </si>
  <si>
    <t>Normal Zaman</t>
  </si>
  <si>
    <t>Ekstra zaman</t>
  </si>
  <si>
    <t>Penaltı atışı</t>
  </si>
  <si>
    <t>Şampiyon</t>
  </si>
  <si>
    <t>Maç #</t>
  </si>
  <si>
    <t>Grup A Birinciliği</t>
  </si>
  <si>
    <t>B Grubu Kazanan</t>
  </si>
  <si>
    <t>Grup C Kazanan</t>
  </si>
  <si>
    <t>D Grubu Kazanan</t>
  </si>
  <si>
    <t>Grup E Kazanan</t>
  </si>
  <si>
    <t>F Grubu Kazanan</t>
  </si>
  <si>
    <t>A Grubu Runner Up</t>
  </si>
  <si>
    <t>B Grubu Runner Up</t>
  </si>
  <si>
    <t>D Grubu Runner Up</t>
  </si>
  <si>
    <t>F Grubu Runner Up</t>
  </si>
  <si>
    <t>Maçın 37. Kazanan</t>
  </si>
  <si>
    <t>Maçın 38. Kazanan</t>
  </si>
  <si>
    <t>Maçın 39. Kazanan</t>
  </si>
  <si>
    <t>Maçın 40. Kazanan</t>
  </si>
  <si>
    <t>Maçın 41. Kazanan</t>
  </si>
  <si>
    <t>Maçın 42. Kazanan</t>
  </si>
  <si>
    <t>Maçın 43 Kazanan</t>
  </si>
  <si>
    <t>Maçın 44 Kazanan</t>
  </si>
  <si>
    <t>Maçın 45 Kazanan</t>
  </si>
  <si>
    <t>Maçın 46. Kazanan</t>
  </si>
  <si>
    <t>Maçın 47. Kazanan</t>
  </si>
  <si>
    <t>Maçın 48. Kazanan</t>
  </si>
  <si>
    <t>Maçın 49. Kazanan</t>
  </si>
  <si>
    <t>Maçın 50 Kazanan</t>
  </si>
  <si>
    <t>Maçın 51. Kazanan</t>
  </si>
  <si>
    <t>Daha fazla şablonlar ve güncellemeler için exceltemplate.net Ziyaret</t>
  </si>
  <si>
    <t>Euro 2016 Takvimi ve Puan Levha</t>
  </si>
  <si>
    <t>Vurgulamak istediğiniz metni seçin, vurguyu kaldırmak için silme</t>
  </si>
  <si>
    <t>A Grubu</t>
  </si>
  <si>
    <t>B Grubu</t>
  </si>
  <si>
    <t>D Grubu</t>
  </si>
  <si>
    <t>F Grubu</t>
  </si>
  <si>
    <t>Çekmek</t>
  </si>
  <si>
    <t>Kaybetmek</t>
  </si>
  <si>
    <t>İçin</t>
  </si>
  <si>
    <t>Karşı</t>
  </si>
  <si>
    <t>Puan</t>
  </si>
  <si>
    <t>Yuvarlar Knock Out</t>
  </si>
  <si>
    <t>Grup B / E / F Üçüncülük</t>
  </si>
  <si>
    <t>A Grubu / C / D Üçüncülük</t>
  </si>
  <si>
    <t>Grup A / B / F Üçüncülük</t>
  </si>
  <si>
    <t>Grup C / D / E Üçüncülük Ödülü</t>
  </si>
  <si>
    <t>Grup A-F Üçüncülük Puan</t>
  </si>
  <si>
    <t>Франція</t>
  </si>
  <si>
    <t>Румунія</t>
  </si>
  <si>
    <t>Албанія</t>
  </si>
  <si>
    <t>Швейцарія</t>
  </si>
  <si>
    <t>Англія</t>
  </si>
  <si>
    <t>Росія</t>
  </si>
  <si>
    <t>Уельс</t>
  </si>
  <si>
    <t>Словаччина</t>
  </si>
  <si>
    <t>Німеччина</t>
  </si>
  <si>
    <t>Україна</t>
  </si>
  <si>
    <t>Польща</t>
  </si>
  <si>
    <t>Північна Ірландія</t>
  </si>
  <si>
    <t>Іспанія</t>
  </si>
  <si>
    <t>Чеська Республіка</t>
  </si>
  <si>
    <t>Туреччина</t>
  </si>
  <si>
    <t>Хорватія</t>
  </si>
  <si>
    <t>Бельгія</t>
  </si>
  <si>
    <t>Італія</t>
  </si>
  <si>
    <t>Ірландія</t>
  </si>
  <si>
    <t>Швеція</t>
  </si>
  <si>
    <t>Португалія</t>
  </si>
  <si>
    <t>Ісландія</t>
  </si>
  <si>
    <t>Австрія</t>
  </si>
  <si>
    <t>Угорщина</t>
  </si>
  <si>
    <t>Мова</t>
  </si>
  <si>
    <t>Часовий пояс</t>
  </si>
  <si>
    <t>Місце зустрічі</t>
  </si>
  <si>
    <t>Таблиця</t>
  </si>
  <si>
    <t>Країна</t>
  </si>
  <si>
    <t>Рахунок</t>
  </si>
  <si>
    <t>Час</t>
  </si>
  <si>
    <t>Круглий 16</t>
  </si>
  <si>
    <t>Чвертьфіналах</t>
  </si>
  <si>
    <t>Півфінали</t>
  </si>
  <si>
    <t>Остаточний</t>
  </si>
  <si>
    <t>Переможець</t>
  </si>
  <si>
    <t>Друге місце</t>
  </si>
  <si>
    <t>Нормальна Час</t>
  </si>
  <si>
    <t>Додатковий час</t>
  </si>
  <si>
    <t>Пенальті</t>
  </si>
  <si>
    <t>Чемпіон</t>
  </si>
  <si>
    <t>Матч #</t>
  </si>
  <si>
    <t>Переможець групи А</t>
  </si>
  <si>
    <t>Переможець групи B</t>
  </si>
  <si>
    <t>Група Переможець З</t>
  </si>
  <si>
    <t>Переможець групи D</t>
  </si>
  <si>
    <t>Група E Переможець</t>
  </si>
  <si>
    <t>Група F Переможець</t>
  </si>
  <si>
    <t>Група А бігун</t>
  </si>
  <si>
    <t>Група B друге місце</t>
  </si>
  <si>
    <t>Група C друге місце</t>
  </si>
  <si>
    <t>Група D бігун</t>
  </si>
  <si>
    <t>Група E бігун</t>
  </si>
  <si>
    <t>Група F бігун</t>
  </si>
  <si>
    <t>Матч 37 Переможець</t>
  </si>
  <si>
    <t>Матч 38 Переможець</t>
  </si>
  <si>
    <t>Матч 39 Переможець</t>
  </si>
  <si>
    <t>Матч 40 Переможець</t>
  </si>
  <si>
    <t>Матч 41 Переможець</t>
  </si>
  <si>
    <t>Матч 42 Переможець</t>
  </si>
  <si>
    <t>Матч 43 Переможець</t>
  </si>
  <si>
    <t>Матч 44 Переможець</t>
  </si>
  <si>
    <t>Матч 45 Переможець</t>
  </si>
  <si>
    <t>Матч 46 Переможець</t>
  </si>
  <si>
    <t>Матч 47 Переможець</t>
  </si>
  <si>
    <t>Матч 48 Переможець</t>
  </si>
  <si>
    <t>Матч 49 Переможець</t>
  </si>
  <si>
    <t>Матч 50 Переможець</t>
  </si>
  <si>
    <t>Матч 51 Переможець</t>
  </si>
  <si>
    <t>Відвідати exceltemplate.net для більш шаблонів і оновлень</t>
  </si>
  <si>
    <t>Євро-2016 Розклад і оцінка лист</t>
  </si>
  <si>
    <t>Виберіть текст, який ви хочете, щоб виділити, видалити видалити відблиск</t>
  </si>
  <si>
    <t>Група A</t>
  </si>
  <si>
    <t>Перемога</t>
  </si>
  <si>
    <t>Малювати</t>
  </si>
  <si>
    <t>Втрачати</t>
  </si>
  <si>
    <t>Проти</t>
  </si>
  <si>
    <t>Окуляри</t>
  </si>
  <si>
    <t>Knock Out раундів</t>
  </si>
  <si>
    <t>Група B / E / F третє місце</t>
  </si>
  <si>
    <t>Група A / C / D третє місце</t>
  </si>
  <si>
    <t>Група A / B / F третє місце</t>
  </si>
  <si>
    <t>Група C / D / E Третє місце</t>
  </si>
  <si>
    <t>Група A-F третє місце Турнірна таблиця</t>
  </si>
  <si>
    <t>Pháp</t>
  </si>
  <si>
    <t>Thụy Sỹ</t>
  </si>
  <si>
    <t>Nước Anh</t>
  </si>
  <si>
    <t>Nga</t>
  </si>
  <si>
    <t>Xứ Wales</t>
  </si>
  <si>
    <t>nước Đức</t>
  </si>
  <si>
    <t>Ba Lan</t>
  </si>
  <si>
    <t>Bắc Ireland</t>
  </si>
  <si>
    <t>Tây Ban Nha</t>
  </si>
  <si>
    <t>Cộng hòa Séc</t>
  </si>
  <si>
    <t>Thổ Nhĩ Kỳ</t>
  </si>
  <si>
    <t>nước Bỉ</t>
  </si>
  <si>
    <t>Ý</t>
  </si>
  <si>
    <t>Cộng hòa Ireland</t>
  </si>
  <si>
    <t>Thụy Điển</t>
  </si>
  <si>
    <t>Bồ Đào Nha</t>
  </si>
  <si>
    <t>Áo</t>
  </si>
  <si>
    <t>Ngôn ngữ</t>
  </si>
  <si>
    <t>Múi giờ</t>
  </si>
  <si>
    <t>Nhóm Các giai đoạn</t>
  </si>
  <si>
    <t>Địa điểm</t>
  </si>
  <si>
    <t>Bảng xếp hạng</t>
  </si>
  <si>
    <t>Nhóm</t>
  </si>
  <si>
    <t>Hẹn hò</t>
  </si>
  <si>
    <t>Đất nước</t>
  </si>
  <si>
    <t>Ghi bàn</t>
  </si>
  <si>
    <t>Thời gian</t>
  </si>
  <si>
    <t>Vòng 16</t>
  </si>
  <si>
    <t>Tứ kết</t>
  </si>
  <si>
    <t>Finals bán</t>
  </si>
  <si>
    <t>Cuối cùng</t>
  </si>
  <si>
    <t>Người chiến thắng</t>
  </si>
  <si>
    <t>Người được giải nhì</t>
  </si>
  <si>
    <t>Thời gian bình thường</t>
  </si>
  <si>
    <t>Thêm thời gian</t>
  </si>
  <si>
    <t>Penalty bắn ra</t>
  </si>
  <si>
    <t>Nhà vô địch</t>
  </si>
  <si>
    <t>Phù hợp #</t>
  </si>
  <si>
    <t>Nhóm A Winner</t>
  </si>
  <si>
    <t>Nhóm B Winner</t>
  </si>
  <si>
    <t>Nhóm C Winner</t>
  </si>
  <si>
    <t>Nhóm D Winner</t>
  </si>
  <si>
    <t>Nhóm E Winner</t>
  </si>
  <si>
    <t>Nhóm F Winner</t>
  </si>
  <si>
    <t>Nhóm A Runner Up</t>
  </si>
  <si>
    <t>Nhóm B Runner Up</t>
  </si>
  <si>
    <t>Nhóm C Runner Up</t>
  </si>
  <si>
    <t>Nhóm D Runner Up</t>
  </si>
  <si>
    <t>Nhóm E Runner Up</t>
  </si>
  <si>
    <t>Nhóm F Runner Up</t>
  </si>
  <si>
    <t>Thăm exceltemplate.net cho các mẫu và cập nhật</t>
  </si>
  <si>
    <t>Euro 2016 Schedule và Điểm Tấm</t>
  </si>
  <si>
    <t>Chọn văn bản bạn muốn nổi bật, xóa để loại bỏ nổi bật</t>
  </si>
  <si>
    <t>Nhóm A</t>
  </si>
  <si>
    <t>Nhóm B</t>
  </si>
  <si>
    <t>Nhóm C</t>
  </si>
  <si>
    <t>Nhóm D</t>
  </si>
  <si>
    <t>Nhóm E</t>
  </si>
  <si>
    <t>Nhóm F</t>
  </si>
  <si>
    <t>Thắng cuộc</t>
  </si>
  <si>
    <t>Rút ra</t>
  </si>
  <si>
    <t>Mất</t>
  </si>
  <si>
    <t>Đối với</t>
  </si>
  <si>
    <t>Chống lại</t>
  </si>
  <si>
    <t>Điểm</t>
  </si>
  <si>
    <t>Nhóm B / E / F Hạng Ba</t>
  </si>
  <si>
    <t>Nhóm A / C / D Hạng Ba</t>
  </si>
  <si>
    <t>Nhóm A / B / F Hạng Ba</t>
  </si>
  <si>
    <t>Nhóm C / D / E Hạng Ba</t>
  </si>
  <si>
    <t>Nhóm A-F ba Thứ Bảng xếp hạng</t>
  </si>
  <si>
    <t>Францыя</t>
  </si>
  <si>
    <t>Румынія</t>
  </si>
  <si>
    <t>Швейцарыя</t>
  </si>
  <si>
    <t>Расія</t>
  </si>
  <si>
    <t>Славакія</t>
  </si>
  <si>
    <t>Германія</t>
  </si>
  <si>
    <t>Украіна</t>
  </si>
  <si>
    <t>Польшча</t>
  </si>
  <si>
    <t>Паўночнай Ірландыі</t>
  </si>
  <si>
    <t>Чэская Рэспубліка</t>
  </si>
  <si>
    <t>Турцыя</t>
  </si>
  <si>
    <t>Харватыя</t>
  </si>
  <si>
    <t>Ірландыя</t>
  </si>
  <si>
    <t>Швецыя</t>
  </si>
  <si>
    <t>Партугалія</t>
  </si>
  <si>
    <t>Ісландыя</t>
  </si>
  <si>
    <t>Аўстрыя</t>
  </si>
  <si>
    <t>Венгрыя</t>
  </si>
  <si>
    <t>Часовая</t>
  </si>
  <si>
    <t>Група Этапы</t>
  </si>
  <si>
    <t>Месца сустрэчы</t>
  </si>
  <si>
    <t>Табліца</t>
  </si>
  <si>
    <t>Краіна</t>
  </si>
  <si>
    <t>Кошт</t>
  </si>
  <si>
    <t>Круглы 16</t>
  </si>
  <si>
    <t>Чвэрцьфіналах</t>
  </si>
  <si>
    <t>Паўфіналы</t>
  </si>
  <si>
    <t>Канчатковы</t>
  </si>
  <si>
    <t>Пераможца</t>
  </si>
  <si>
    <t>Другое месца</t>
  </si>
  <si>
    <t>Нармальная Час</t>
  </si>
  <si>
    <t>Дадатковы час</t>
  </si>
  <si>
    <t>Пенальці</t>
  </si>
  <si>
    <t>Чэмпіён</t>
  </si>
  <si>
    <t>Пераможца групы А</t>
  </si>
  <si>
    <t>Пераможца групы B</t>
  </si>
  <si>
    <t>Група Пераможца З</t>
  </si>
  <si>
    <t>Пераможца групы D</t>
  </si>
  <si>
    <t>Група E Пераможца</t>
  </si>
  <si>
    <t>Група F Пераможца</t>
  </si>
  <si>
    <t>Група А бягун</t>
  </si>
  <si>
    <t>Група B другое месца</t>
  </si>
  <si>
    <t>Група C другое месца</t>
  </si>
  <si>
    <t>Група D бягун</t>
  </si>
  <si>
    <t>Група E бягун</t>
  </si>
  <si>
    <t>Група F бягун</t>
  </si>
  <si>
    <t>Матч 37 Пераможца</t>
  </si>
  <si>
    <t>Матч 38 Пераможца</t>
  </si>
  <si>
    <t>Матч 39 Пераможца</t>
  </si>
  <si>
    <t>Матч 40 Пераможца</t>
  </si>
  <si>
    <t>Матч 41 Пераможца</t>
  </si>
  <si>
    <t>Матч 42 Пераможца</t>
  </si>
  <si>
    <t>Матч 43 Пераможца</t>
  </si>
  <si>
    <t>Матч 44 Пераможца</t>
  </si>
  <si>
    <t>Матч 45 Пераможца</t>
  </si>
  <si>
    <t>Матч 46 Пераможца</t>
  </si>
  <si>
    <t>Матч 47 Пераможца</t>
  </si>
  <si>
    <t>Матч 48 Пераможца</t>
  </si>
  <si>
    <t>Матч 49 Пераможца</t>
  </si>
  <si>
    <t>Матч 50 Пераможца</t>
  </si>
  <si>
    <t>Матч 51 Пераможца</t>
  </si>
  <si>
    <t>Наведаць exceltemplate.net для больш шаблонаў і абнаўленняў</t>
  </si>
  <si>
    <t>Еўра-2016 Расклад і ацэнка ліст</t>
  </si>
  <si>
    <t>Выберыце тэкст, які вы хочаце, каб вылучыць, выдаліць выдаліць блік</t>
  </si>
  <si>
    <t>Перамога</t>
  </si>
  <si>
    <t>Маляваць</t>
  </si>
  <si>
    <t>Страціць</t>
  </si>
  <si>
    <t>Супраць</t>
  </si>
  <si>
    <t>Акуляры</t>
  </si>
  <si>
    <t>Knock Out раўндаў</t>
  </si>
  <si>
    <t>Група B / E / F трэцяе месца</t>
  </si>
  <si>
    <t>Група A / C / D трэцяе месца</t>
  </si>
  <si>
    <t>Група A / B / F трэцяе месца</t>
  </si>
  <si>
    <t>Група C / D / E Трэцяе месца</t>
  </si>
  <si>
    <t>Група A-F трэцяе месца Турнірная табліца</t>
  </si>
  <si>
    <t>Belarusia</t>
  </si>
  <si>
    <t>Czech</t>
  </si>
  <si>
    <t>Francie</t>
  </si>
  <si>
    <t>Albánie</t>
  </si>
  <si>
    <t>Švýcarsko</t>
  </si>
  <si>
    <t>Anglie</t>
  </si>
  <si>
    <t>Německo</t>
  </si>
  <si>
    <t>Polsko</t>
  </si>
  <si>
    <t>Severní Irsko</t>
  </si>
  <si>
    <t>Španělsko</t>
  </si>
  <si>
    <t>krocan</t>
  </si>
  <si>
    <t>Chorvatsko</t>
  </si>
  <si>
    <t>Belgie</t>
  </si>
  <si>
    <t>Itálie</t>
  </si>
  <si>
    <t>Irská republika</t>
  </si>
  <si>
    <t>Rakousko</t>
  </si>
  <si>
    <t>Časová zóna</t>
  </si>
  <si>
    <t>Místo</t>
  </si>
  <si>
    <t>Pořadí</t>
  </si>
  <si>
    <t>Země</t>
  </si>
  <si>
    <t>Čtvrtfinále</t>
  </si>
  <si>
    <t>Finále</t>
  </si>
  <si>
    <t>Vítěz</t>
  </si>
  <si>
    <t>Běžec</t>
  </si>
  <si>
    <t>Čas navíc</t>
  </si>
  <si>
    <t>Mistr</t>
  </si>
  <si>
    <t>Zápas #</t>
  </si>
  <si>
    <t>Skupina A Vítěz</t>
  </si>
  <si>
    <t>Skupina B Vítěz</t>
  </si>
  <si>
    <t>Skupina C Vítěz</t>
  </si>
  <si>
    <t>Skupina D Vítěz</t>
  </si>
  <si>
    <t>Skupina E Vítěz</t>
  </si>
  <si>
    <t>Skupina F Vítěz</t>
  </si>
  <si>
    <t>Vítěz zápasu 37</t>
  </si>
  <si>
    <t>Vítěz zápasu 38</t>
  </si>
  <si>
    <t>Vítěz zápasu 39</t>
  </si>
  <si>
    <t>Vítěz zápasu 40</t>
  </si>
  <si>
    <t>Vítěz zápasu 41</t>
  </si>
  <si>
    <t>Vítěz zápasu 42</t>
  </si>
  <si>
    <t>Vítěz zápasu 43</t>
  </si>
  <si>
    <t>Vítěz zápasu 44</t>
  </si>
  <si>
    <t>Vítěz zápasu 45</t>
  </si>
  <si>
    <t>Vítěz zápasu 46</t>
  </si>
  <si>
    <t>Vítěz zápasu 47</t>
  </si>
  <si>
    <t>Vítěz zápasu 48</t>
  </si>
  <si>
    <t>Vítěz zápasu 49</t>
  </si>
  <si>
    <t>Vítěz zápasu 50</t>
  </si>
  <si>
    <t>Vítěz zápasu 51</t>
  </si>
  <si>
    <t>Navštivte exceltemplate.net pro více šablon a aktualizace</t>
  </si>
  <si>
    <t>Vyberte text, který chcete zvýraznit, vymazat odstranit zvýraznění</t>
  </si>
  <si>
    <t>Vyhrát</t>
  </si>
  <si>
    <t>Kreslit</t>
  </si>
  <si>
    <t>Ztratit</t>
  </si>
  <si>
    <t>Pro</t>
  </si>
  <si>
    <t>Skupina B / E / F třetí místo</t>
  </si>
  <si>
    <t>Skupina A / C / D Třetí místo</t>
  </si>
  <si>
    <t>Skupina A / B / F třetí místo</t>
  </si>
  <si>
    <t>Skupina C / D / E třetí místo</t>
  </si>
  <si>
    <t>Skupina A-F Třetí místo Pořadí</t>
  </si>
  <si>
    <t>Hindi</t>
  </si>
  <si>
    <t>फ्रांस</t>
  </si>
  <si>
    <t>रोमानिया</t>
  </si>
  <si>
    <t>अल्बानिया</t>
  </si>
  <si>
    <t>स्विट्जरलैंड</t>
  </si>
  <si>
    <t>इंगलैंड</t>
  </si>
  <si>
    <t>रूस</t>
  </si>
  <si>
    <t>वेल्स</t>
  </si>
  <si>
    <t>स्लोवाकिया</t>
  </si>
  <si>
    <t>जर्मनी</t>
  </si>
  <si>
    <t>यूक्रेन</t>
  </si>
  <si>
    <t>पोलैंड</t>
  </si>
  <si>
    <t>उत्तरी आयरलैंड</t>
  </si>
  <si>
    <t>स्पेन</t>
  </si>
  <si>
    <t>चेक गणतंत्र</t>
  </si>
  <si>
    <t>तुर्की</t>
  </si>
  <si>
    <t>क्रोएशिया</t>
  </si>
  <si>
    <t>बेल्जियम</t>
  </si>
  <si>
    <t>इटली</t>
  </si>
  <si>
    <t>आयरलैंड का गणराज्य</t>
  </si>
  <si>
    <t>स्वीडन</t>
  </si>
  <si>
    <t>पुर्तगाल</t>
  </si>
  <si>
    <t>आइसलैंड</t>
  </si>
  <si>
    <t>ऑस्ट्रिया</t>
  </si>
  <si>
    <t>हंगरी</t>
  </si>
  <si>
    <t>भाषा</t>
  </si>
  <si>
    <t>समय क्षेत्र</t>
  </si>
  <si>
    <t>ग्रुप चरण</t>
  </si>
  <si>
    <t>स्थान</t>
  </si>
  <si>
    <t>स्टैंडिंग</t>
  </si>
  <si>
    <t>समूह</t>
  </si>
  <si>
    <t>तारीख</t>
  </si>
  <si>
    <t>देश</t>
  </si>
  <si>
    <t>स्कोर</t>
  </si>
  <si>
    <t>T.I.M.E</t>
  </si>
  <si>
    <t>16 का दौर</t>
  </si>
  <si>
    <t>क्वार्टर फाइनल</t>
  </si>
  <si>
    <t>सेमी फाइनल</t>
  </si>
  <si>
    <t>अंतिम</t>
  </si>
  <si>
    <t>विजेता</t>
  </si>
  <si>
    <t>द्वितीय विजेता</t>
  </si>
  <si>
    <t>सामान्य समय</t>
  </si>
  <si>
    <t>अतिरिक्त समय</t>
  </si>
  <si>
    <t>पेनाल्टी लेना</t>
  </si>
  <si>
    <t>चैंपियन</t>
  </si>
  <si>
    <t>मैच #</t>
  </si>
  <si>
    <t>ग्रुप 'ए' के ​​विजेता</t>
  </si>
  <si>
    <t>ग्रुप बी के विजेता</t>
  </si>
  <si>
    <t>ग्रुप सी विजेता</t>
  </si>
  <si>
    <t>ग्रुप डी के विजेता</t>
  </si>
  <si>
    <t>ग्रुप ई विजेता</t>
  </si>
  <si>
    <t>ग्रुप एफ के विजेता</t>
  </si>
  <si>
    <t>ग्रुप ए धावक</t>
  </si>
  <si>
    <t>ग्रुप बी धावक</t>
  </si>
  <si>
    <t>ग्रुप सी धावक</t>
  </si>
  <si>
    <t>ग्रुप डी धावक</t>
  </si>
  <si>
    <t>ग्रुप ई धावक</t>
  </si>
  <si>
    <t>ग्रुप एफ धावक</t>
  </si>
  <si>
    <t>मैच 37 विजेता</t>
  </si>
  <si>
    <t>मैच 38 विजेता</t>
  </si>
  <si>
    <t>मैच 39 विजेता</t>
  </si>
  <si>
    <t>मैच में 40 विनर</t>
  </si>
  <si>
    <t>मैच 41 विजेता</t>
  </si>
  <si>
    <t>मैच 42 विजेता</t>
  </si>
  <si>
    <t>मैच 43 विजेता</t>
  </si>
  <si>
    <t>मैच 44 विजेता</t>
  </si>
  <si>
    <t>मैच 45 विजेता</t>
  </si>
  <si>
    <t>मैच 46 विजेता</t>
  </si>
  <si>
    <t>मैच 47 विजेता</t>
  </si>
  <si>
    <t>मैच 48 विजेता</t>
  </si>
  <si>
    <t>मैच 49 विजेता</t>
  </si>
  <si>
    <t>मैच में 50 विनर</t>
  </si>
  <si>
    <t>मैच 51 विजेता</t>
  </si>
  <si>
    <t>अधिक टेम्पलेट्स और अपडेट के लिए exceltemplate.net जाएँ</t>
  </si>
  <si>
    <t>यूरो 2016 अनुसूची और स्कोर शीट</t>
  </si>
  <si>
    <t>आप को उजागर करना चाहते हैं कि पाठ का चयन करें, उजागर दूर करने के लिए हटाना</t>
  </si>
  <si>
    <t>ग्रुप ए</t>
  </si>
  <si>
    <t>ग्रुप 'बी'</t>
  </si>
  <si>
    <t>ग्रुप सी</t>
  </si>
  <si>
    <t>ग्रुप डी</t>
  </si>
  <si>
    <t>ग्रुप ई</t>
  </si>
  <si>
    <t>ग्रुप एफ</t>
  </si>
  <si>
    <t>जीतना</t>
  </si>
  <si>
    <t>खींचना</t>
  </si>
  <si>
    <t>खोना</t>
  </si>
  <si>
    <t>के लिए</t>
  </si>
  <si>
    <t>के खिलाफ</t>
  </si>
  <si>
    <t>अंक</t>
  </si>
  <si>
    <t>राउंड नॉक आउट</t>
  </si>
  <si>
    <t>ग्रुप बी / ई / एफ तीसरे स्थान पर</t>
  </si>
  <si>
    <t>ग्रुप ए / सी / डी तीसरे स्थान पर</t>
  </si>
  <si>
    <t>ग्रुप ए / बी / एफ तीसरे स्थान पर</t>
  </si>
  <si>
    <t>ग्रुप सी / डी / ई तीसरे स्थान पर</t>
  </si>
  <si>
    <t>ग्रुप-ए-एफ तीसरे स्थान पर स्टैंडिंग</t>
  </si>
  <si>
    <t>LANGUAGE</t>
  </si>
  <si>
    <t>TIMEZONE</t>
  </si>
  <si>
    <t>City Name</t>
  </si>
  <si>
    <t>Original Language (English)</t>
  </si>
  <si>
    <t>+</t>
  </si>
  <si>
    <t>© 2016 - Exceltemplate.net</t>
  </si>
  <si>
    <t>Match 49 Loser</t>
  </si>
  <si>
    <t>Match 50 Loser</t>
  </si>
  <si>
    <t>Match 51 Loser</t>
  </si>
  <si>
    <t>Time Difference with Paris</t>
  </si>
  <si>
    <t>Language Title</t>
  </si>
  <si>
    <t>NEW LANGUAGE</t>
  </si>
  <si>
    <t>NEW CITY</t>
  </si>
  <si>
    <t>&gt;</t>
  </si>
  <si>
    <t>&lt;- select +/- and time difference between Paris and your city</t>
  </si>
  <si>
    <t>&lt;- type your language name here</t>
  </si>
  <si>
    <t>&lt;- type your city name here</t>
  </si>
  <si>
    <t>&lt;-type your new translation word here</t>
  </si>
  <si>
    <t>EURO 2016 SCHEDULE AND SCORESHEET</t>
  </si>
  <si>
    <t xml:space="preserve">The unlocked one is built on single code which intended only for Euro Cup competition. You can learn the code, tweak it or just modify its layout to match your own style (you can add your café, restaurant, company logo etc). </t>
  </si>
  <si>
    <t>Euro 2016 Schedule and Scoresheet - Fully Unlocked</t>
  </si>
  <si>
    <t>This is the template that is designed to help you managing pool competition among your friends, colleagues, relatives etc. It supports until 100 people.</t>
  </si>
  <si>
    <t>EURO 2016 OFFICE POOL</t>
  </si>
  <si>
    <t>Euro 2016 Office Pool Lite - Up to 15 Players</t>
  </si>
  <si>
    <t>Euro 2016 Office Pool Pro - Up to 100 Players (Shown Worksheets Unlocked)</t>
  </si>
  <si>
    <t>USD 11.99</t>
  </si>
  <si>
    <t>Euro 2016 Office Pool Pro - Up to 100 Players (Fully Unlocked)</t>
  </si>
  <si>
    <t>EURO 2016 SCHEDULE AND SCORESHEET WITH TOP SCORER</t>
  </si>
  <si>
    <t>Euro 2016 Schedule and Scoresheet with Top Scorer</t>
  </si>
  <si>
    <t>Euro 2016 Schedule and Scoresheet with Top Scorer - Fully Unlocked</t>
  </si>
  <si>
    <t>Wedstryd 49 Loser</t>
  </si>
  <si>
    <t>Ndeshje 49 Loser</t>
  </si>
  <si>
    <t>مباراة 49 الخاسر</t>
  </si>
  <si>
    <t>Матч 49 Той, хто прайграе</t>
  </si>
  <si>
    <t>Partit 49 Loser</t>
  </si>
  <si>
    <t>比赛49失败者</t>
  </si>
  <si>
    <t>比賽49失敗者</t>
  </si>
  <si>
    <t>Klađenje 49 gubitnik</t>
  </si>
  <si>
    <t>49e Loser</t>
  </si>
  <si>
    <t>Ottelu 49 Loser</t>
  </si>
  <si>
    <t>Perdant match 49</t>
  </si>
  <si>
    <t>მატჩი 49 Loser</t>
  </si>
  <si>
    <t>Verliert das Match 49</t>
  </si>
  <si>
    <t>Αγώνας 49 Loser</t>
  </si>
  <si>
    <t>לוזר 49 ההתאמה</t>
  </si>
  <si>
    <t>मैच 49 हारे</t>
  </si>
  <si>
    <t>Kalah Pertandingan 49</t>
  </si>
  <si>
    <t>Perdere partita 49</t>
  </si>
  <si>
    <t>マッチ49敗者</t>
  </si>
  <si>
    <t>경기 49 패자</t>
  </si>
  <si>
    <t>Rungtynių 49 Loser</t>
  </si>
  <si>
    <t>Натпревар 49 Губитник</t>
  </si>
  <si>
    <t>Kalah Perlawanan 49</t>
  </si>
  <si>
    <t>Хүсч байгаа эд зүйлс 49 ялагдсан</t>
  </si>
  <si>
    <t>Kamp 49 Loser</t>
  </si>
  <si>
    <t>بازی 49 بازنده</t>
  </si>
  <si>
    <t>Mecz 49 Loser</t>
  </si>
  <si>
    <t>Jogo 49 Perdedor</t>
  </si>
  <si>
    <t>Meci 49 Loser</t>
  </si>
  <si>
    <t>Матч 49 Проигравший</t>
  </si>
  <si>
    <t>Утакмица 49 Губитник</t>
  </si>
  <si>
    <t>Partido 49 Loser</t>
  </si>
  <si>
    <t>การแข่งขัน 49 แพ้</t>
  </si>
  <si>
    <t>Maç 49 Kaybeden</t>
  </si>
  <si>
    <t>Матч 49 Переможений</t>
  </si>
  <si>
    <t>Wedstryd 50 Loser</t>
  </si>
  <si>
    <t>Ndeshje 50 Loser</t>
  </si>
  <si>
    <t>مباراة 50 الخاسر</t>
  </si>
  <si>
    <t>Матч 50 Той, хто прайграе</t>
  </si>
  <si>
    <t>Partit 50 Loser</t>
  </si>
  <si>
    <t>比赛50失败者</t>
  </si>
  <si>
    <t>比賽50失敗者</t>
  </si>
  <si>
    <t>Klađenje 50 gubitnik</t>
  </si>
  <si>
    <t>50e Loser</t>
  </si>
  <si>
    <t>Ottelu 50 Loser</t>
  </si>
  <si>
    <t>Perdant match 50</t>
  </si>
  <si>
    <t>მატჩი 50 Loser</t>
  </si>
  <si>
    <t>Verliert das Match 50</t>
  </si>
  <si>
    <t>Αγώνας 50 Loser</t>
  </si>
  <si>
    <t>לוזר 50 ההתאמה</t>
  </si>
  <si>
    <t>मैच 50 हारे</t>
  </si>
  <si>
    <t>Kalah Pertandingan 50</t>
  </si>
  <si>
    <t>Perdere partita 50</t>
  </si>
  <si>
    <t>マッチ50敗者</t>
  </si>
  <si>
    <t>경기 50 패자</t>
  </si>
  <si>
    <t>Rungtynių 50 Loser</t>
  </si>
  <si>
    <t>Натпревар 50 Губитник</t>
  </si>
  <si>
    <t>Kalah Perlawanan 50</t>
  </si>
  <si>
    <t>Хүсч байгаа эд зүйлс 50 ялагдсан</t>
  </si>
  <si>
    <t>Kamp 50 Loser</t>
  </si>
  <si>
    <t>بازی 50 بازنده</t>
  </si>
  <si>
    <t>Mecz 50 Loser</t>
  </si>
  <si>
    <t>Jogo 50 Perdedor</t>
  </si>
  <si>
    <t>Meci 50 Loser</t>
  </si>
  <si>
    <t>Матч 50 Проигравший</t>
  </si>
  <si>
    <t>Утакмица 50 Губитник</t>
  </si>
  <si>
    <t>Partido 50 Loser</t>
  </si>
  <si>
    <t>การแข่งขัน 50 แพ้</t>
  </si>
  <si>
    <t>Maç 50 Kaybeden</t>
  </si>
  <si>
    <t>Матч 50 Переможений</t>
  </si>
  <si>
    <t>Wedstryd 51 Loser</t>
  </si>
  <si>
    <t>Ndeshje 51 Loser</t>
  </si>
  <si>
    <t>مباراة 51 الخاسر</t>
  </si>
  <si>
    <t>Матч 51 Той, хто прайграе</t>
  </si>
  <si>
    <t>Partit 51 Loser</t>
  </si>
  <si>
    <t>比赛51失败者</t>
  </si>
  <si>
    <t>比賽51失敗者</t>
  </si>
  <si>
    <t>Klađenje 51 gubitnik</t>
  </si>
  <si>
    <t>51e Loser</t>
  </si>
  <si>
    <t>Ottelu 51 Loser</t>
  </si>
  <si>
    <t>Perdant match 51</t>
  </si>
  <si>
    <t>მატჩი 51 Loser</t>
  </si>
  <si>
    <t>Verliert das Match 51</t>
  </si>
  <si>
    <t>Αγώνας 51 Loser</t>
  </si>
  <si>
    <t>לוזר 51 ההתאמה</t>
  </si>
  <si>
    <t>मैच 51 हारे</t>
  </si>
  <si>
    <t>Kalah Pertandingan 51</t>
  </si>
  <si>
    <t>Perdere partita 51</t>
  </si>
  <si>
    <t>マッチ51敗者</t>
  </si>
  <si>
    <t>경기 51 패자</t>
  </si>
  <si>
    <t>Rungtynių 51 Loser</t>
  </si>
  <si>
    <t>Натпревар 51 Губитник</t>
  </si>
  <si>
    <t>Kalah Perlawanan 51</t>
  </si>
  <si>
    <t>Хүсч байгаа эд зүйлс 51 ялагдсан</t>
  </si>
  <si>
    <t>Kamp 51 Loser</t>
  </si>
  <si>
    <t>بازی 51 بازنده</t>
  </si>
  <si>
    <t>Mecz 51 Loser</t>
  </si>
  <si>
    <t>Jogo 51 Perdedor</t>
  </si>
  <si>
    <t>Meci 51 Loser</t>
  </si>
  <si>
    <t>Матч 51 Проигравший</t>
  </si>
  <si>
    <t>Утакмица 51 Губитник</t>
  </si>
  <si>
    <t>Partido 51 Loser</t>
  </si>
  <si>
    <t>การแข่งขัน 51 แพ้</t>
  </si>
  <si>
    <t>Maç 51 Kaybeden</t>
  </si>
  <si>
    <t>Матч 51 Переможений</t>
  </si>
  <si>
    <t>M</t>
  </si>
  <si>
    <t>U</t>
  </si>
  <si>
    <t>S</t>
  </si>
  <si>
    <t>Y</t>
  </si>
  <si>
    <t>USD 12.99</t>
  </si>
  <si>
    <t>USD 19.99</t>
  </si>
  <si>
    <t>USD 18.99</t>
  </si>
  <si>
    <t>SOCCER TEAM STATS TRACKER</t>
  </si>
  <si>
    <t>Soccer Team Stats Tracker</t>
  </si>
  <si>
    <t>Soccer Team Stats Tracker - 100 Match Records</t>
  </si>
  <si>
    <t>This is a template to log general team stats in their matches. All stats will be summarized and visualize in a chart that could help you analyze the performance of your team against all or specific teams.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</si>
</sst>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h:mm;@"/>
    <numFmt numFmtId="166" formatCode="d\-mmm\,\ h:mm"/>
    <numFmt numFmtId="167" formatCode="m/d/yy\ h:mm;@"/>
    <numFmt numFmtId="168" formatCode="[$-409]d\-mmm;@"/>
  </numFmts>
  <fonts count="34" x14ac:knownFonts="1">
    <font>
      <sz val="10"/>
      <name val="Arial"/>
    </font>
    <font>
      <sz val="8"/>
      <name val="Arial"/>
      <family val="2"/>
    </font>
    <font>
      <u/>
      <sz val="10"/>
      <color indexed="12"/>
      <name val="Arial"/>
      <family val="2"/>
    </font>
    <font>
      <sz val="10"/>
      <name val="Calibri"/>
      <family val="2"/>
      <scheme val="minor"/>
    </font>
    <font>
      <b/>
      <sz val="10"/>
      <name val="Calibri"/>
      <family val="2"/>
      <scheme val="minor"/>
    </font>
    <font>
      <sz val="10"/>
      <color theme="0"/>
      <name val="Calibri"/>
      <family val="2"/>
      <scheme val="minor"/>
    </font>
    <font>
      <b/>
      <sz val="10"/>
      <color theme="0"/>
      <name val="Calibri"/>
      <family val="2"/>
      <scheme val="minor"/>
    </font>
    <font>
      <sz val="11"/>
      <name val="Calibri"/>
      <family val="2"/>
      <scheme val="minor"/>
    </font>
    <font>
      <sz val="11"/>
      <color theme="0"/>
      <name val="Calibri"/>
      <family val="2"/>
      <scheme val="minor"/>
    </font>
    <font>
      <sz val="10"/>
      <name val="Arial"/>
      <family val="2"/>
    </font>
    <font>
      <u/>
      <sz val="10"/>
      <color indexed="12"/>
      <name val="Calibri"/>
      <family val="2"/>
      <scheme val="minor"/>
    </font>
    <font>
      <sz val="11"/>
      <color indexed="10"/>
      <name val="Calibri"/>
      <family val="2"/>
      <scheme val="minor"/>
    </font>
    <font>
      <sz val="11"/>
      <color indexed="9"/>
      <name val="Calibri"/>
      <family val="2"/>
      <scheme val="minor"/>
    </font>
    <font>
      <b/>
      <sz val="11"/>
      <name val="Calibri"/>
      <family val="2"/>
      <scheme val="minor"/>
    </font>
    <font>
      <b/>
      <sz val="11"/>
      <color indexed="9"/>
      <name val="Calibri"/>
      <family val="2"/>
      <scheme val="minor"/>
    </font>
    <font>
      <sz val="11"/>
      <color rgb="FFFF0000"/>
      <name val="Calibri"/>
      <family val="2"/>
      <scheme val="minor"/>
    </font>
    <font>
      <b/>
      <sz val="22"/>
      <name val="Calibri"/>
      <family val="2"/>
      <scheme val="minor"/>
    </font>
    <font>
      <b/>
      <sz val="16"/>
      <name val="Calibri"/>
      <family val="2"/>
      <scheme val="minor"/>
    </font>
    <font>
      <b/>
      <sz val="9"/>
      <color indexed="81"/>
      <name val="Tahoma"/>
      <family val="2"/>
    </font>
    <font>
      <sz val="10"/>
      <name val="Verdana"/>
      <family val="2"/>
    </font>
    <font>
      <b/>
      <sz val="16"/>
      <color theme="0"/>
      <name val="Calibri"/>
      <family val="2"/>
      <scheme val="minor"/>
    </font>
    <font>
      <b/>
      <sz val="20"/>
      <color indexed="9"/>
      <name val="Calibri"/>
      <family val="2"/>
      <scheme val="minor"/>
    </font>
    <font>
      <b/>
      <sz val="11"/>
      <color rgb="FF0000FF"/>
      <name val="Calibri"/>
      <family val="2"/>
      <scheme val="minor"/>
    </font>
    <font>
      <b/>
      <sz val="11"/>
      <color theme="0"/>
      <name val="Calibri"/>
      <family val="2"/>
      <scheme val="minor"/>
    </font>
    <font>
      <b/>
      <sz val="11"/>
      <color theme="1"/>
      <name val="Calibri"/>
      <family val="2"/>
      <scheme val="minor"/>
    </font>
    <font>
      <sz val="10"/>
      <color rgb="FFFF0000"/>
      <name val="Calibri"/>
      <family val="2"/>
      <scheme val="minor"/>
    </font>
    <font>
      <b/>
      <sz val="14"/>
      <name val="Calibri"/>
      <family val="2"/>
      <scheme val="minor"/>
    </font>
    <font>
      <sz val="11"/>
      <color rgb="FF0000FF"/>
      <name val="Calibri"/>
      <family val="2"/>
      <scheme val="minor"/>
    </font>
    <font>
      <sz val="11"/>
      <color theme="1" tint="0.249977111117893"/>
      <name val="Calibri"/>
      <family val="2"/>
      <scheme val="minor"/>
    </font>
    <font>
      <sz val="10"/>
      <color theme="0"/>
      <name val="Verdana"/>
      <family val="2"/>
    </font>
    <font>
      <sz val="10"/>
      <color theme="0"/>
      <name val="Arial"/>
      <family val="2"/>
    </font>
    <font>
      <b/>
      <sz val="10"/>
      <color theme="0"/>
      <name val="Arial"/>
      <family val="2"/>
    </font>
    <font>
      <sz val="9"/>
      <color indexed="81"/>
      <name val="Tahoma"/>
      <family val="2"/>
    </font>
    <font>
      <sz val="10"/>
      <color theme="0"/>
      <name val="Arial"/>
      <family val="2"/>
    </font>
  </fonts>
  <fills count="17">
    <fill>
      <patternFill patternType="none"/>
    </fill>
    <fill>
      <patternFill patternType="gray125"/>
    </fill>
    <fill>
      <patternFill patternType="solid">
        <fgColor theme="3" tint="-0.249977111117893"/>
        <bgColor indexed="64"/>
      </patternFill>
    </fill>
    <fill>
      <patternFill patternType="solid">
        <fgColor theme="6" tint="0.79998168889431442"/>
        <bgColor indexed="64"/>
      </patternFill>
    </fill>
    <fill>
      <patternFill patternType="solid">
        <fgColor theme="6" tint="-0.249977111117893"/>
        <bgColor indexed="64"/>
      </patternFill>
    </fill>
    <fill>
      <patternFill patternType="solid">
        <fgColor theme="6" tint="-0.49998474074526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rgb="FF0000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9" tint="-0.249977111117893"/>
        <bgColor indexed="64"/>
      </patternFill>
    </fill>
    <fill>
      <patternFill patternType="solid">
        <fgColor rgb="FF7030A0"/>
        <bgColor indexed="64"/>
      </patternFill>
    </fill>
    <fill>
      <patternFill patternType="solid">
        <fgColor theme="6" tint="0.39997558519241921"/>
        <bgColor indexed="64"/>
      </patternFill>
    </fill>
  </fills>
  <borders count="43">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theme="1" tint="0.499984740745262"/>
      </left>
      <right style="medium">
        <color theme="1" tint="0.499984740745262"/>
      </right>
      <top/>
      <bottom style="thin">
        <color theme="1" tint="0.499984740745262"/>
      </bottom>
      <diagonal/>
    </border>
    <border>
      <left style="medium">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top style="medium">
        <color theme="1" tint="0.499984740745262"/>
      </top>
      <bottom style="medium">
        <color theme="1" tint="0.499984740745262"/>
      </bottom>
      <diagonal/>
    </border>
    <border>
      <left/>
      <right style="medium">
        <color theme="1" tint="0.499984740745262"/>
      </right>
      <top style="medium">
        <color theme="1" tint="0.499984740745262"/>
      </top>
      <bottom style="thin">
        <color theme="1" tint="0.499984740745262"/>
      </bottom>
      <diagonal/>
    </border>
    <border>
      <left/>
      <right/>
      <top style="medium">
        <color theme="1" tint="0.499984740745262"/>
      </top>
      <bottom style="thin">
        <color theme="1" tint="0.499984740745262"/>
      </bottom>
      <diagonal/>
    </border>
    <border>
      <left style="medium">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theme="1" tint="0.499984740745262"/>
      </right>
      <top style="medium">
        <color theme="1" tint="0.499984740745262"/>
      </top>
      <bottom style="thin">
        <color indexed="64"/>
      </bottom>
      <diagonal/>
    </border>
    <border>
      <left style="thin">
        <color indexed="64"/>
      </left>
      <right style="thin">
        <color indexed="64"/>
      </right>
      <top/>
      <bottom style="thin">
        <color indexed="64"/>
      </bottom>
      <diagonal/>
    </border>
    <border>
      <left/>
      <right style="thin">
        <color indexed="64"/>
      </right>
      <top style="thin">
        <color theme="1" tint="0.499984740745262"/>
      </top>
      <bottom style="thin">
        <color theme="1" tint="0.499984740745262"/>
      </bottom>
      <diagonal/>
    </border>
    <border>
      <left/>
      <right/>
      <top style="thin">
        <color theme="0"/>
      </top>
      <bottom style="thin">
        <color theme="0"/>
      </bottom>
      <diagonal/>
    </border>
    <border>
      <left/>
      <right/>
      <top/>
      <bottom style="thin">
        <color theme="0"/>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style="thin">
        <color theme="0"/>
      </bottom>
      <diagonal/>
    </border>
    <border>
      <left/>
      <right style="thin">
        <color indexed="64"/>
      </right>
      <top style="thin">
        <color theme="0"/>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right/>
      <top style="thin">
        <color theme="1" tint="0.499984740745262"/>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164" fontId="9" fillId="0" borderId="0" applyFont="0" applyFill="0" applyBorder="0" applyAlignment="0" applyProtection="0"/>
  </cellStyleXfs>
  <cellXfs count="307">
    <xf numFmtId="0" fontId="0" fillId="0" borderId="0" xfId="0"/>
    <xf numFmtId="0" fontId="3" fillId="0" borderId="0" xfId="0" applyFont="1" applyBorder="1" applyAlignment="1" applyProtection="1">
      <alignment vertical="center"/>
      <protection hidden="1"/>
    </xf>
    <xf numFmtId="0" fontId="3" fillId="0" borderId="0" xfId="0" applyFont="1"/>
    <xf numFmtId="0" fontId="4" fillId="0" borderId="8" xfId="0" applyFont="1" applyBorder="1"/>
    <xf numFmtId="0" fontId="3" fillId="0" borderId="8" xfId="0" applyFont="1" applyBorder="1"/>
    <xf numFmtId="0" fontId="4" fillId="0" borderId="0" xfId="0" applyFont="1"/>
    <xf numFmtId="0" fontId="3" fillId="0" borderId="0" xfId="0" applyFont="1" applyBorder="1" applyAlignment="1">
      <alignment horizontal="center" vertical="center"/>
    </xf>
    <xf numFmtId="0" fontId="3" fillId="0" borderId="0" xfId="0" applyFont="1" applyBorder="1" applyAlignment="1">
      <alignment horizontal="left" vertical="center"/>
    </xf>
    <xf numFmtId="164" fontId="7" fillId="0" borderId="0" xfId="2" applyFont="1" applyBorder="1" applyAlignment="1">
      <alignment horizontal="center" vertical="center"/>
    </xf>
    <xf numFmtId="0" fontId="7" fillId="0" borderId="0" xfId="0" applyFont="1" applyBorder="1" applyAlignment="1">
      <alignment horizontal="center" vertical="center"/>
    </xf>
    <xf numFmtId="0" fontId="4" fillId="0" borderId="8" xfId="0" applyFont="1" applyBorder="1" applyAlignment="1">
      <alignment horizontal="left" vertical="center"/>
    </xf>
    <xf numFmtId="0" fontId="4" fillId="0" borderId="0" xfId="0" applyFont="1" applyBorder="1" applyAlignment="1">
      <alignment horizontal="left" vertical="center"/>
    </xf>
    <xf numFmtId="0" fontId="3" fillId="0" borderId="0" xfId="0" applyFont="1" applyAlignment="1">
      <alignment vertical="center"/>
    </xf>
    <xf numFmtId="0" fontId="7" fillId="0" borderId="0" xfId="0" applyFont="1" applyProtection="1">
      <protection hidden="1"/>
    </xf>
    <xf numFmtId="0" fontId="7" fillId="0" borderId="0" xfId="0" applyFont="1" applyAlignment="1" applyProtection="1">
      <protection hidden="1"/>
    </xf>
    <xf numFmtId="0" fontId="7" fillId="0" borderId="0" xfId="0" applyFont="1" applyAlignment="1" applyProtection="1">
      <alignment horizontal="center"/>
      <protection hidden="1"/>
    </xf>
    <xf numFmtId="0" fontId="11" fillId="0" borderId="0" xfId="0" applyFont="1" applyProtection="1">
      <protection hidden="1"/>
    </xf>
    <xf numFmtId="0" fontId="12" fillId="0" borderId="0" xfId="0" applyFont="1" applyProtection="1">
      <protection hidden="1"/>
    </xf>
    <xf numFmtId="0" fontId="13" fillId="0" borderId="0" xfId="0" applyFont="1" applyProtection="1">
      <protection hidden="1"/>
    </xf>
    <xf numFmtId="0" fontId="11" fillId="0" borderId="0" xfId="0" applyFont="1" applyAlignment="1" applyProtection="1">
      <alignment vertical="center"/>
      <protection hidden="1"/>
    </xf>
    <xf numFmtId="0" fontId="7" fillId="0" borderId="0" xfId="0" applyFont="1" applyAlignment="1" applyProtection="1">
      <alignment vertical="center"/>
      <protection hidden="1"/>
    </xf>
    <xf numFmtId="0" fontId="7" fillId="0" borderId="1" xfId="0" applyFont="1" applyBorder="1" applyAlignment="1" applyProtection="1">
      <alignment vertical="center"/>
      <protection hidden="1"/>
    </xf>
    <xf numFmtId="0" fontId="7" fillId="0" borderId="0" xfId="0" applyFont="1" applyBorder="1" applyAlignment="1" applyProtection="1">
      <alignment vertical="center"/>
      <protection hidden="1"/>
    </xf>
    <xf numFmtId="0" fontId="7" fillId="0" borderId="0" xfId="0" applyFont="1" applyBorder="1" applyAlignment="1" applyProtection="1">
      <alignment horizontal="center" vertical="center"/>
      <protection hidden="1"/>
    </xf>
    <xf numFmtId="0" fontId="7" fillId="0" borderId="2" xfId="0" applyFont="1" applyBorder="1" applyAlignment="1" applyProtection="1">
      <alignment vertical="center"/>
      <protection hidden="1"/>
    </xf>
    <xf numFmtId="0" fontId="11" fillId="0" borderId="0" xfId="0" applyFont="1" applyBorder="1" applyAlignment="1" applyProtection="1">
      <alignment vertical="center"/>
      <protection hidden="1"/>
    </xf>
    <xf numFmtId="0" fontId="11" fillId="0" borderId="0" xfId="0" applyFont="1" applyBorder="1" applyProtection="1">
      <protection hidden="1"/>
    </xf>
    <xf numFmtId="165" fontId="7" fillId="0" borderId="0" xfId="0" applyNumberFormat="1" applyFont="1" applyBorder="1" applyAlignment="1" applyProtection="1">
      <alignment horizontal="right" vertical="center"/>
      <protection hidden="1"/>
    </xf>
    <xf numFmtId="0" fontId="7" fillId="0" borderId="0" xfId="0" applyFont="1" applyBorder="1" applyAlignment="1" applyProtection="1">
      <alignment horizontal="right" vertical="center"/>
      <protection hidden="1"/>
    </xf>
    <xf numFmtId="0" fontId="7" fillId="0" borderId="0" xfId="0" applyFont="1" applyFill="1" applyBorder="1" applyAlignment="1" applyProtection="1">
      <alignment horizontal="center" vertical="center"/>
      <protection locked="0"/>
    </xf>
    <xf numFmtId="0" fontId="11" fillId="0" borderId="0" xfId="0" applyFont="1" applyFill="1" applyBorder="1" applyAlignment="1" applyProtection="1">
      <alignment vertical="center"/>
      <protection hidden="1"/>
    </xf>
    <xf numFmtId="0" fontId="7" fillId="0" borderId="0" xfId="0" applyFont="1" applyFill="1" applyBorder="1" applyAlignment="1" applyProtection="1">
      <alignment vertical="center"/>
      <protection hidden="1"/>
    </xf>
    <xf numFmtId="0" fontId="7" fillId="0" borderId="10" xfId="0" applyFont="1" applyBorder="1" applyAlignment="1" applyProtection="1">
      <alignment vertical="center"/>
      <protection hidden="1"/>
    </xf>
    <xf numFmtId="0" fontId="7" fillId="0" borderId="8" xfId="0" applyFont="1" applyBorder="1" applyAlignment="1" applyProtection="1">
      <alignment vertical="center"/>
      <protection hidden="1"/>
    </xf>
    <xf numFmtId="0" fontId="7" fillId="0" borderId="9" xfId="0" applyFont="1" applyBorder="1" applyAlignment="1" applyProtection="1">
      <alignment vertical="center"/>
      <protection hidden="1"/>
    </xf>
    <xf numFmtId="0" fontId="7" fillId="0" borderId="8" xfId="0" applyFont="1" applyFill="1" applyBorder="1" applyAlignment="1" applyProtection="1">
      <alignment vertical="center"/>
      <protection hidden="1"/>
    </xf>
    <xf numFmtId="0" fontId="7" fillId="0" borderId="1" xfId="0" applyFont="1" applyBorder="1" applyProtection="1">
      <protection hidden="1"/>
    </xf>
    <xf numFmtId="0" fontId="13" fillId="0" borderId="0" xfId="0" applyFont="1" applyBorder="1" applyAlignment="1" applyProtection="1">
      <alignment horizontal="center" vertical="center"/>
      <protection hidden="1"/>
    </xf>
    <xf numFmtId="0" fontId="7" fillId="0" borderId="0" xfId="0" applyFont="1" applyAlignment="1" applyProtection="1">
      <alignment wrapText="1"/>
      <protection hidden="1"/>
    </xf>
    <xf numFmtId="0" fontId="7" fillId="0" borderId="0" xfId="0" applyFont="1" applyAlignment="1" applyProtection="1">
      <alignment horizontal="center" wrapText="1"/>
      <protection hidden="1"/>
    </xf>
    <xf numFmtId="0" fontId="7" fillId="0" borderId="0" xfId="0" applyFont="1" applyBorder="1" applyAlignment="1" applyProtection="1">
      <alignment vertical="center" wrapText="1"/>
      <protection hidden="1"/>
    </xf>
    <xf numFmtId="0" fontId="13" fillId="0" borderId="0" xfId="0" applyFont="1" applyBorder="1" applyAlignment="1" applyProtection="1">
      <alignment horizontal="center" vertical="center" wrapText="1"/>
      <protection hidden="1"/>
    </xf>
    <xf numFmtId="16" fontId="7" fillId="0" borderId="0" xfId="0" applyNumberFormat="1" applyFont="1" applyBorder="1" applyAlignment="1" applyProtection="1">
      <alignment horizontal="right" vertical="center" wrapText="1" shrinkToFit="1"/>
      <protection hidden="1"/>
    </xf>
    <xf numFmtId="0" fontId="7" fillId="0" borderId="8" xfId="0" applyFont="1" applyBorder="1" applyAlignment="1" applyProtection="1">
      <alignment vertical="center" wrapText="1"/>
      <protection hidden="1"/>
    </xf>
    <xf numFmtId="0" fontId="7" fillId="0" borderId="0" xfId="0" applyFont="1" applyAlignment="1" applyProtection="1">
      <alignment vertical="center" wrapText="1"/>
      <protection hidden="1"/>
    </xf>
    <xf numFmtId="0" fontId="15" fillId="0" borderId="0" xfId="0" applyFont="1" applyAlignment="1" applyProtection="1">
      <alignment vertical="center"/>
      <protection hidden="1"/>
    </xf>
    <xf numFmtId="0" fontId="15" fillId="0" borderId="0" xfId="0" applyFont="1" applyProtection="1">
      <protection hidden="1"/>
    </xf>
    <xf numFmtId="0" fontId="7" fillId="0" borderId="10" xfId="0" applyFont="1" applyBorder="1" applyAlignment="1" applyProtection="1">
      <alignment horizontal="center" vertical="center"/>
      <protection hidden="1"/>
    </xf>
    <xf numFmtId="0" fontId="7" fillId="0" borderId="6" xfId="0" applyFont="1" applyBorder="1" applyAlignment="1" applyProtection="1">
      <alignment vertical="center"/>
      <protection hidden="1"/>
    </xf>
    <xf numFmtId="0" fontId="7" fillId="0" borderId="1" xfId="0" applyFont="1" applyBorder="1" applyAlignment="1" applyProtection="1">
      <alignment horizontal="center" vertical="center"/>
      <protection hidden="1"/>
    </xf>
    <xf numFmtId="0" fontId="7" fillId="0" borderId="0" xfId="0" quotePrefix="1" applyFont="1" applyFill="1" applyBorder="1" applyAlignment="1" applyProtection="1">
      <alignment horizontal="center" vertical="center"/>
      <protection locked="0"/>
    </xf>
    <xf numFmtId="0" fontId="7" fillId="0" borderId="13" xfId="0" applyFont="1" applyBorder="1" applyAlignment="1" applyProtection="1">
      <alignment vertical="center"/>
      <protection hidden="1"/>
    </xf>
    <xf numFmtId="0" fontId="7" fillId="5" borderId="8" xfId="0" applyFont="1" applyFill="1" applyBorder="1" applyAlignment="1" applyProtection="1">
      <alignment vertical="center"/>
      <protection hidden="1"/>
    </xf>
    <xf numFmtId="0" fontId="11" fillId="5" borderId="8" xfId="0" applyFont="1" applyFill="1" applyBorder="1" applyAlignment="1" applyProtection="1">
      <alignment vertical="center"/>
      <protection hidden="1"/>
    </xf>
    <xf numFmtId="0" fontId="7" fillId="6" borderId="16" xfId="0" applyFont="1" applyFill="1" applyBorder="1" applyAlignment="1" applyProtection="1">
      <alignment horizontal="center" vertical="center"/>
      <protection hidden="1"/>
    </xf>
    <xf numFmtId="166" fontId="7" fillId="6" borderId="17" xfId="0" applyNumberFormat="1" applyFont="1" applyFill="1" applyBorder="1" applyAlignment="1" applyProtection="1">
      <alignment horizontal="center" vertical="center"/>
      <protection hidden="1"/>
    </xf>
    <xf numFmtId="0" fontId="7" fillId="8" borderId="14" xfId="0" applyFont="1" applyFill="1" applyBorder="1" applyAlignment="1" applyProtection="1">
      <alignment horizontal="center" vertical="center"/>
      <protection hidden="1"/>
    </xf>
    <xf numFmtId="0" fontId="8" fillId="4" borderId="15" xfId="0" applyFont="1" applyFill="1" applyBorder="1" applyAlignment="1" applyProtection="1">
      <alignment horizontal="center" vertical="center"/>
      <protection hidden="1"/>
    </xf>
    <xf numFmtId="0" fontId="8" fillId="7" borderId="14" xfId="0" applyFont="1" applyFill="1" applyBorder="1" applyAlignment="1" applyProtection="1">
      <alignment horizontal="center" vertical="center"/>
      <protection hidden="1"/>
    </xf>
    <xf numFmtId="0" fontId="8" fillId="4" borderId="14" xfId="0" applyFont="1" applyFill="1" applyBorder="1" applyAlignment="1" applyProtection="1">
      <alignment horizontal="center" vertical="center"/>
      <protection hidden="1"/>
    </xf>
    <xf numFmtId="0" fontId="8" fillId="9" borderId="14" xfId="0" applyFont="1" applyFill="1" applyBorder="1" applyAlignment="1" applyProtection="1">
      <alignment horizontal="center" vertical="center"/>
      <protection hidden="1"/>
    </xf>
    <xf numFmtId="0" fontId="8" fillId="9" borderId="15" xfId="0" applyFont="1" applyFill="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14" fillId="0" borderId="0" xfId="1" applyFont="1" applyFill="1" applyAlignment="1" applyProtection="1">
      <alignment vertical="center"/>
      <protection hidden="1"/>
    </xf>
    <xf numFmtId="0" fontId="12" fillId="0" borderId="0" xfId="0" applyFont="1" applyFill="1" applyProtection="1">
      <protection hidden="1"/>
    </xf>
    <xf numFmtId="0" fontId="11" fillId="0" borderId="0" xfId="0" applyFont="1" applyFill="1" applyProtection="1">
      <protection hidden="1"/>
    </xf>
    <xf numFmtId="0" fontId="11" fillId="0" borderId="0" xfId="0" applyFont="1" applyFill="1" applyBorder="1" applyProtection="1">
      <protection hidden="1"/>
    </xf>
    <xf numFmtId="0" fontId="7" fillId="0" borderId="0" xfId="0" applyFont="1" applyFill="1" applyAlignment="1" applyProtection="1">
      <alignment vertical="center"/>
      <protection hidden="1"/>
    </xf>
    <xf numFmtId="0" fontId="8" fillId="0" borderId="0" xfId="0" applyFont="1" applyAlignment="1" applyProtection="1">
      <alignment horizontal="left" indent="1"/>
      <protection hidden="1"/>
    </xf>
    <xf numFmtId="0" fontId="8" fillId="0" borderId="0" xfId="0" applyFont="1" applyAlignment="1" applyProtection="1">
      <alignment horizontal="left" vertical="center" indent="1"/>
      <protection hidden="1"/>
    </xf>
    <xf numFmtId="0" fontId="8" fillId="0" borderId="0" xfId="0" applyFont="1" applyBorder="1" applyAlignment="1" applyProtection="1">
      <alignment horizontal="left" vertical="center" indent="1"/>
      <protection hidden="1"/>
    </xf>
    <xf numFmtId="0" fontId="8" fillId="5" borderId="10" xfId="0" applyFont="1" applyFill="1" applyBorder="1" applyAlignment="1" applyProtection="1">
      <alignment vertical="center"/>
      <protection hidden="1"/>
    </xf>
    <xf numFmtId="0" fontId="7" fillId="5" borderId="0" xfId="0" applyFont="1" applyFill="1" applyBorder="1" applyAlignment="1" applyProtection="1">
      <alignment vertical="center"/>
      <protection hidden="1"/>
    </xf>
    <xf numFmtId="0" fontId="7" fillId="10" borderId="0" xfId="0" applyFont="1" applyFill="1" applyProtection="1">
      <protection locked="0"/>
    </xf>
    <xf numFmtId="0" fontId="7" fillId="3" borderId="5" xfId="0" applyFont="1" applyFill="1" applyBorder="1" applyAlignment="1" applyProtection="1">
      <alignment horizontal="center" vertical="center"/>
      <protection locked="0"/>
    </xf>
    <xf numFmtId="0" fontId="7" fillId="0" borderId="0" xfId="0" applyFont="1" applyBorder="1" applyAlignment="1" applyProtection="1">
      <alignment vertical="center"/>
      <protection locked="0"/>
    </xf>
    <xf numFmtId="0" fontId="7" fillId="0" borderId="0" xfId="0" applyFont="1" applyFill="1" applyBorder="1" applyAlignment="1" applyProtection="1">
      <alignment vertical="center"/>
      <protection locked="0"/>
    </xf>
    <xf numFmtId="0" fontId="7" fillId="3" borderId="12" xfId="0" applyFont="1" applyFill="1" applyBorder="1" applyAlignment="1" applyProtection="1">
      <alignment horizontal="center" vertical="center"/>
      <protection locked="0"/>
    </xf>
    <xf numFmtId="0" fontId="8" fillId="0" borderId="0" xfId="0" applyFont="1" applyAlignment="1" applyProtection="1">
      <alignment horizontal="center"/>
      <protection locked="0"/>
    </xf>
    <xf numFmtId="0" fontId="8" fillId="0" borderId="0" xfId="0" applyFont="1" applyAlignment="1" applyProtection="1">
      <alignment horizontal="center" vertical="center"/>
      <protection locked="0"/>
    </xf>
    <xf numFmtId="0" fontId="7" fillId="0" borderId="0" xfId="0" applyFont="1" applyAlignment="1" applyProtection="1">
      <alignment horizontal="center" vertical="center"/>
      <protection hidden="1"/>
    </xf>
    <xf numFmtId="0" fontId="3" fillId="0" borderId="0" xfId="0" applyFont="1" applyFill="1" applyBorder="1" applyAlignment="1" applyProtection="1">
      <alignment vertical="center"/>
      <protection hidden="1"/>
    </xf>
    <xf numFmtId="0" fontId="13" fillId="0" borderId="0" xfId="0" applyFont="1" applyBorder="1" applyAlignment="1" applyProtection="1">
      <alignment vertical="center"/>
      <protection hidden="1"/>
    </xf>
    <xf numFmtId="0" fontId="13" fillId="0" borderId="2" xfId="0" applyFont="1" applyBorder="1" applyAlignment="1" applyProtection="1">
      <alignment vertical="center"/>
      <protection hidden="1"/>
    </xf>
    <xf numFmtId="0" fontId="13" fillId="0" borderId="0" xfId="0" applyFont="1" applyBorder="1" applyAlignment="1" applyProtection="1">
      <alignment horizontal="right" vertical="center"/>
      <protection hidden="1"/>
    </xf>
    <xf numFmtId="0" fontId="13" fillId="0" borderId="0" xfId="0" applyFont="1" applyBorder="1" applyAlignment="1" applyProtection="1">
      <alignment horizontal="left" vertical="center"/>
      <protection hidden="1"/>
    </xf>
    <xf numFmtId="0" fontId="8" fillId="0" borderId="0" xfId="0" applyFont="1" applyBorder="1" applyAlignment="1" applyProtection="1">
      <alignment horizontal="left" indent="1"/>
      <protection hidden="1"/>
    </xf>
    <xf numFmtId="0" fontId="7" fillId="0" borderId="2" xfId="0" applyFont="1" applyBorder="1" applyProtection="1">
      <protection hidden="1"/>
    </xf>
    <xf numFmtId="0" fontId="6" fillId="0" borderId="0" xfId="0" applyFont="1" applyFill="1" applyBorder="1" applyAlignment="1" applyProtection="1">
      <alignment vertical="center"/>
      <protection hidden="1"/>
    </xf>
    <xf numFmtId="0" fontId="7" fillId="0" borderId="0" xfId="0" applyFont="1" applyBorder="1" applyProtection="1">
      <protection hidden="1"/>
    </xf>
    <xf numFmtId="0" fontId="7" fillId="0" borderId="10" xfId="0" applyFont="1" applyFill="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23" xfId="0" applyFont="1" applyFill="1" applyBorder="1" applyAlignment="1" applyProtection="1">
      <alignment horizontal="center" vertical="center"/>
      <protection locked="0"/>
    </xf>
    <xf numFmtId="0" fontId="25" fillId="0" borderId="0" xfId="0" applyFont="1"/>
    <xf numFmtId="0" fontId="25" fillId="0" borderId="0" xfId="0" applyFont="1" applyBorder="1"/>
    <xf numFmtId="0" fontId="5" fillId="0" borderId="0" xfId="0" applyFont="1"/>
    <xf numFmtId="0" fontId="5" fillId="0" borderId="0" xfId="0" applyFont="1" applyBorder="1"/>
    <xf numFmtId="0" fontId="6" fillId="0" borderId="0" xfId="0" applyFont="1" applyFill="1" applyBorder="1" applyAlignment="1">
      <alignment horizontal="center"/>
    </xf>
    <xf numFmtId="0" fontId="5" fillId="0" borderId="0" xfId="0" applyFont="1" applyBorder="1" applyAlignment="1">
      <alignment horizontal="center" vertical="center" textRotation="255"/>
    </xf>
    <xf numFmtId="0" fontId="19" fillId="0" borderId="0" xfId="0" applyFont="1" applyAlignment="1" applyProtection="1">
      <alignment horizontal="left" vertical="center"/>
    </xf>
    <xf numFmtId="0" fontId="9" fillId="0" borderId="0" xfId="0" applyFont="1" applyBorder="1" applyProtection="1">
      <protection hidden="1"/>
    </xf>
    <xf numFmtId="0" fontId="7" fillId="0" borderId="0" xfId="0" applyFont="1"/>
    <xf numFmtId="0" fontId="7" fillId="0" borderId="15" xfId="0" applyFont="1" applyFill="1" applyBorder="1" applyAlignment="1" applyProtection="1">
      <alignment horizontal="center" vertical="center"/>
      <protection hidden="1"/>
    </xf>
    <xf numFmtId="0" fontId="8" fillId="15" borderId="14" xfId="0" applyFont="1" applyFill="1" applyBorder="1" applyAlignment="1" applyProtection="1">
      <alignment horizontal="center" vertical="center"/>
      <protection hidden="1"/>
    </xf>
    <xf numFmtId="0" fontId="8" fillId="15" borderId="15" xfId="0" applyFont="1" applyFill="1" applyBorder="1" applyAlignment="1" applyProtection="1">
      <alignment horizontal="center" vertical="center"/>
      <protection hidden="1"/>
    </xf>
    <xf numFmtId="0" fontId="7" fillId="15" borderId="0" xfId="0" applyFont="1" applyFill="1" applyAlignment="1" applyProtection="1">
      <alignment vertical="center"/>
      <protection hidden="1"/>
    </xf>
    <xf numFmtId="0" fontId="8" fillId="14" borderId="15" xfId="0" applyFont="1" applyFill="1" applyBorder="1" applyAlignment="1" applyProtection="1">
      <alignment horizontal="center" vertical="center"/>
      <protection hidden="1"/>
    </xf>
    <xf numFmtId="0" fontId="8" fillId="14" borderId="14" xfId="0" applyFont="1" applyFill="1" applyBorder="1" applyAlignment="1" applyProtection="1">
      <alignment horizontal="center" vertical="center"/>
      <protection hidden="1"/>
    </xf>
    <xf numFmtId="0" fontId="7" fillId="14" borderId="0" xfId="0" applyFont="1" applyFill="1" applyAlignment="1" applyProtection="1">
      <alignment vertical="center"/>
      <protection hidden="1"/>
    </xf>
    <xf numFmtId="0" fontId="26" fillId="0" borderId="11" xfId="0" applyFont="1" applyBorder="1" applyAlignment="1" applyProtection="1">
      <alignment horizontal="center" vertical="center" wrapText="1"/>
      <protection hidden="1"/>
    </xf>
    <xf numFmtId="0" fontId="7" fillId="8" borderId="0" xfId="0" applyFont="1" applyFill="1" applyAlignment="1" applyProtection="1">
      <alignment vertical="center"/>
      <protection hidden="1"/>
    </xf>
    <xf numFmtId="0" fontId="7" fillId="7" borderId="0" xfId="0" applyFont="1" applyFill="1" applyAlignment="1" applyProtection="1">
      <alignment vertical="center"/>
      <protection hidden="1"/>
    </xf>
    <xf numFmtId="0" fontId="7" fillId="9" borderId="0" xfId="0" applyFont="1" applyFill="1" applyAlignment="1" applyProtection="1">
      <alignment vertical="center"/>
      <protection hidden="1"/>
    </xf>
    <xf numFmtId="0" fontId="7" fillId="4" borderId="0" xfId="0" applyFont="1" applyFill="1" applyAlignment="1" applyProtection="1">
      <alignment vertical="center"/>
      <protection hidden="1"/>
    </xf>
    <xf numFmtId="0" fontId="7" fillId="0" borderId="25"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8" fillId="2" borderId="0" xfId="0" applyFont="1" applyFill="1" applyAlignment="1" applyProtection="1">
      <alignment vertical="center"/>
      <protection hidden="1"/>
    </xf>
    <xf numFmtId="0" fontId="8" fillId="2" borderId="0" xfId="0" applyFont="1" applyFill="1" applyBorder="1" applyAlignment="1" applyProtection="1">
      <alignment vertical="center"/>
      <protection hidden="1"/>
    </xf>
    <xf numFmtId="0" fontId="8" fillId="2" borderId="0" xfId="0" applyFont="1" applyFill="1" applyAlignment="1" applyProtection="1">
      <alignment horizontal="center" vertical="center"/>
      <protection hidden="1"/>
    </xf>
    <xf numFmtId="0" fontId="13" fillId="3" borderId="28" xfId="0" applyFont="1" applyFill="1" applyBorder="1" applyAlignment="1" applyProtection="1">
      <alignment horizontal="center" vertical="center"/>
      <protection hidden="1"/>
    </xf>
    <xf numFmtId="0" fontId="13" fillId="3" borderId="27" xfId="0" applyFont="1" applyFill="1" applyBorder="1" applyAlignment="1" applyProtection="1">
      <alignment horizontal="center" vertical="center"/>
      <protection hidden="1"/>
    </xf>
    <xf numFmtId="0" fontId="24" fillId="8" borderId="0" xfId="0" applyFont="1" applyFill="1" applyBorder="1" applyAlignment="1" applyProtection="1">
      <alignment horizontal="center" vertical="center"/>
      <protection hidden="1"/>
    </xf>
    <xf numFmtId="0" fontId="27" fillId="12" borderId="0" xfId="0" applyFont="1" applyFill="1" applyBorder="1" applyAlignment="1" applyProtection="1">
      <alignment vertical="center"/>
      <protection hidden="1"/>
    </xf>
    <xf numFmtId="0" fontId="22" fillId="12" borderId="0" xfId="0" applyFont="1" applyFill="1" applyBorder="1" applyAlignment="1" applyProtection="1">
      <alignment horizontal="center" vertical="center"/>
      <protection hidden="1"/>
    </xf>
    <xf numFmtId="0" fontId="8" fillId="12" borderId="0" xfId="0" applyFont="1" applyFill="1" applyBorder="1" applyAlignment="1" applyProtection="1">
      <alignment vertical="center"/>
      <protection hidden="1"/>
    </xf>
    <xf numFmtId="0" fontId="8" fillId="3" borderId="0" xfId="0" applyFont="1" applyFill="1" applyBorder="1" applyAlignment="1" applyProtection="1">
      <alignment vertical="center"/>
      <protection hidden="1"/>
    </xf>
    <xf numFmtId="0" fontId="7" fillId="3" borderId="0" xfId="0" applyFont="1" applyFill="1" applyBorder="1" applyAlignment="1" applyProtection="1">
      <alignment horizontal="center" vertical="center"/>
      <protection hidden="1"/>
    </xf>
    <xf numFmtId="0" fontId="23" fillId="7" borderId="0" xfId="0" applyFont="1" applyFill="1" applyBorder="1" applyAlignment="1" applyProtection="1">
      <alignment horizontal="center" vertical="center"/>
      <protection hidden="1"/>
    </xf>
    <xf numFmtId="0" fontId="23" fillId="9" borderId="0" xfId="0" applyFont="1" applyFill="1" applyBorder="1" applyAlignment="1" applyProtection="1">
      <alignment horizontal="center" vertical="center"/>
      <protection hidden="1"/>
    </xf>
    <xf numFmtId="0" fontId="23" fillId="4" borderId="0" xfId="0" applyFont="1" applyFill="1" applyBorder="1" applyAlignment="1" applyProtection="1">
      <alignment horizontal="center" vertical="center"/>
      <protection hidden="1"/>
    </xf>
    <xf numFmtId="0" fontId="23" fillId="15" borderId="0" xfId="0" applyFont="1" applyFill="1" applyBorder="1" applyAlignment="1" applyProtection="1">
      <alignment horizontal="center" vertical="center"/>
      <protection hidden="1"/>
    </xf>
    <xf numFmtId="0" fontId="23" fillId="14" borderId="0" xfId="0" applyFont="1" applyFill="1" applyBorder="1" applyAlignment="1" applyProtection="1">
      <alignment horizontal="center" vertical="center"/>
      <protection hidden="1"/>
    </xf>
    <xf numFmtId="0" fontId="8" fillId="4" borderId="0" xfId="0" applyFont="1" applyFill="1" applyBorder="1" applyAlignment="1" applyProtection="1">
      <alignment horizontal="left" vertical="center" indent="1"/>
      <protection hidden="1"/>
    </xf>
    <xf numFmtId="0" fontId="8" fillId="4" borderId="0" xfId="0" applyFont="1" applyFill="1" applyBorder="1" applyAlignment="1" applyProtection="1">
      <alignment vertical="center"/>
      <protection hidden="1"/>
    </xf>
    <xf numFmtId="0" fontId="8" fillId="4" borderId="0" xfId="0" applyFont="1" applyFill="1" applyBorder="1" applyAlignment="1" applyProtection="1">
      <alignment horizontal="center" vertical="center"/>
      <protection hidden="1"/>
    </xf>
    <xf numFmtId="0" fontId="13" fillId="12" borderId="0" xfId="0" applyFont="1" applyFill="1" applyBorder="1" applyAlignment="1" applyProtection="1">
      <alignment horizontal="center" vertical="center"/>
      <protection hidden="1"/>
    </xf>
    <xf numFmtId="0" fontId="13" fillId="12" borderId="28" xfId="0" applyFont="1" applyFill="1" applyBorder="1" applyAlignment="1" applyProtection="1">
      <alignment horizontal="center" vertical="center"/>
      <protection hidden="1"/>
    </xf>
    <xf numFmtId="0" fontId="13" fillId="12" borderId="27" xfId="0" applyFont="1" applyFill="1" applyBorder="1" applyAlignment="1" applyProtection="1">
      <alignment horizontal="center" vertical="center"/>
      <protection hidden="1"/>
    </xf>
    <xf numFmtId="0" fontId="7" fillId="3" borderId="0" xfId="0" applyFont="1" applyFill="1" applyProtection="1">
      <protection locked="0"/>
    </xf>
    <xf numFmtId="0" fontId="13" fillId="3" borderId="27" xfId="0" applyFont="1" applyFill="1" applyBorder="1" applyAlignment="1" applyProtection="1">
      <alignment horizontal="left" vertical="center"/>
      <protection hidden="1"/>
    </xf>
    <xf numFmtId="0" fontId="13" fillId="3" borderId="28" xfId="0" applyFont="1" applyFill="1" applyBorder="1" applyAlignment="1" applyProtection="1">
      <alignment horizontal="left" vertical="center"/>
      <protection hidden="1"/>
    </xf>
    <xf numFmtId="0" fontId="22" fillId="12" borderId="0" xfId="0" quotePrefix="1" applyFont="1" applyFill="1" applyBorder="1" applyAlignment="1" applyProtection="1">
      <alignment horizontal="center" vertical="center"/>
      <protection hidden="1"/>
    </xf>
    <xf numFmtId="0" fontId="24" fillId="8" borderId="0" xfId="0" quotePrefix="1" applyFont="1" applyFill="1" applyBorder="1" applyAlignment="1" applyProtection="1">
      <alignment horizontal="center" vertical="center"/>
      <protection hidden="1"/>
    </xf>
    <xf numFmtId="0" fontId="8" fillId="2" borderId="0" xfId="0" applyFont="1" applyFill="1" applyBorder="1" applyAlignment="1" applyProtection="1">
      <alignment horizontal="center" vertical="center"/>
      <protection hidden="1"/>
    </xf>
    <xf numFmtId="0" fontId="23" fillId="4" borderId="0" xfId="0" applyFont="1" applyFill="1" applyBorder="1" applyAlignment="1" applyProtection="1">
      <alignment horizontal="left" vertical="center"/>
      <protection hidden="1"/>
    </xf>
    <xf numFmtId="168" fontId="7" fillId="0" borderId="0" xfId="0" applyNumberFormat="1" applyFont="1" applyBorder="1" applyAlignment="1" applyProtection="1">
      <alignment horizontal="right" vertical="center" wrapText="1" shrinkToFit="1"/>
      <protection hidden="1"/>
    </xf>
    <xf numFmtId="0" fontId="7" fillId="0" borderId="0" xfId="0" applyFont="1" applyFill="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0" xfId="0" applyFont="1" applyAlignment="1" applyProtection="1">
      <alignment horizontal="left" vertical="center"/>
      <protection hidden="1"/>
    </xf>
    <xf numFmtId="0" fontId="0" fillId="0" borderId="0" xfId="0" applyBorder="1" applyAlignment="1">
      <alignment vertical="center"/>
    </xf>
    <xf numFmtId="0" fontId="8" fillId="0" borderId="0" xfId="0" applyFont="1" applyAlignment="1" applyProtection="1">
      <alignment horizontal="left" vertical="center"/>
      <protection hidden="1"/>
    </xf>
    <xf numFmtId="0" fontId="7" fillId="0" borderId="9" xfId="0" applyFont="1" applyBorder="1" applyAlignment="1">
      <alignment horizontal="center" vertical="center"/>
    </xf>
    <xf numFmtId="0" fontId="8" fillId="0" borderId="24" xfId="0" applyFont="1" applyBorder="1" applyAlignment="1" applyProtection="1">
      <alignment vertical="center"/>
      <protection hidden="1"/>
    </xf>
    <xf numFmtId="0" fontId="8" fillId="0" borderId="0" xfId="0" applyFont="1" applyAlignment="1" applyProtection="1">
      <alignment vertical="center"/>
      <protection hidden="1"/>
    </xf>
    <xf numFmtId="0" fontId="7" fillId="0" borderId="0" xfId="0" applyFont="1" applyAlignment="1">
      <alignment vertical="center"/>
    </xf>
    <xf numFmtId="0" fontId="13" fillId="16" borderId="38" xfId="0" applyFont="1" applyFill="1" applyBorder="1" applyAlignment="1">
      <alignment vertical="center"/>
    </xf>
    <xf numFmtId="0" fontId="7" fillId="16" borderId="39" xfId="0" applyFont="1" applyFill="1" applyBorder="1" applyAlignment="1">
      <alignment vertical="center"/>
    </xf>
    <xf numFmtId="0" fontId="7" fillId="16" borderId="40" xfId="0" applyFont="1" applyFill="1" applyBorder="1" applyAlignment="1">
      <alignment vertical="center"/>
    </xf>
    <xf numFmtId="165" fontId="7" fillId="3" borderId="5" xfId="0" applyNumberFormat="1" applyFont="1" applyFill="1" applyBorder="1" applyAlignment="1" applyProtection="1">
      <alignment horizontal="center" vertical="center"/>
      <protection locked="0"/>
    </xf>
    <xf numFmtId="0" fontId="7" fillId="0" borderId="0" xfId="0" applyFont="1" applyAlignment="1">
      <alignment horizontal="center" vertical="center"/>
    </xf>
    <xf numFmtId="0" fontId="7" fillId="16" borderId="39" xfId="0" applyFont="1" applyFill="1" applyBorder="1" applyAlignment="1">
      <alignment horizontal="center" vertical="center"/>
    </xf>
    <xf numFmtId="0" fontId="13" fillId="16" borderId="39" xfId="0" applyFont="1" applyFill="1" applyBorder="1" applyAlignment="1">
      <alignment horizontal="center" vertical="center"/>
    </xf>
    <xf numFmtId="0" fontId="7" fillId="0" borderId="5" xfId="0" applyFont="1" applyBorder="1" applyAlignment="1">
      <alignment horizontal="center" vertical="center"/>
    </xf>
    <xf numFmtId="0" fontId="7" fillId="0" borderId="42" xfId="0" applyFont="1" applyBorder="1" applyAlignment="1">
      <alignment vertical="center"/>
    </xf>
    <xf numFmtId="0" fontId="7" fillId="0" borderId="11" xfId="0" applyFont="1" applyBorder="1" applyAlignment="1">
      <alignment vertical="center"/>
    </xf>
    <xf numFmtId="0" fontId="28" fillId="0" borderId="27" xfId="0" applyFont="1" applyFill="1" applyBorder="1" applyAlignment="1" applyProtection="1">
      <alignment horizontal="center" vertical="center"/>
      <protection hidden="1"/>
    </xf>
    <xf numFmtId="0" fontId="28" fillId="0" borderId="27" xfId="0" applyFont="1" applyFill="1" applyBorder="1" applyAlignment="1" applyProtection="1">
      <alignment horizontal="left" vertical="center"/>
      <protection hidden="1"/>
    </xf>
    <xf numFmtId="0" fontId="8" fillId="0" borderId="0" xfId="0" applyFont="1" applyProtection="1">
      <protection hidden="1"/>
    </xf>
    <xf numFmtId="0" fontId="29" fillId="0" borderId="0" xfId="0" applyFont="1" applyFill="1" applyBorder="1" applyProtection="1">
      <protection hidden="1"/>
    </xf>
    <xf numFmtId="0" fontId="29" fillId="0" borderId="0" xfId="0" applyFont="1" applyFill="1" applyProtection="1">
      <protection hidden="1"/>
    </xf>
    <xf numFmtId="0" fontId="29" fillId="0" borderId="0" xfId="0" applyFont="1" applyFill="1" applyBorder="1" applyAlignment="1" applyProtection="1">
      <alignment horizontal="center"/>
      <protection hidden="1"/>
    </xf>
    <xf numFmtId="0" fontId="30" fillId="0" borderId="0" xfId="0" applyFont="1" applyFill="1" applyBorder="1" applyAlignment="1">
      <alignment horizontal="center" vertical="center"/>
    </xf>
    <xf numFmtId="0" fontId="30" fillId="0" borderId="0" xfId="0" applyFont="1" applyFill="1" applyBorder="1"/>
    <xf numFmtId="0" fontId="30" fillId="0" borderId="0" xfId="0" applyFont="1" applyFill="1" applyBorder="1" applyAlignment="1">
      <alignment horizontal="center"/>
    </xf>
    <xf numFmtId="0" fontId="31" fillId="0" borderId="0" xfId="0" applyFont="1" applyFill="1" applyBorder="1" applyAlignment="1">
      <alignment horizontal="center" vertical="center"/>
    </xf>
    <xf numFmtId="0" fontId="31" fillId="0" borderId="0" xfId="0" applyFont="1" applyFill="1" applyBorder="1" applyAlignment="1">
      <alignment horizontal="center"/>
    </xf>
    <xf numFmtId="0" fontId="30" fillId="0" borderId="0" xfId="0" applyFont="1"/>
    <xf numFmtId="0" fontId="7" fillId="13" borderId="0" xfId="0" applyFont="1" applyFill="1" applyProtection="1">
      <protection locked="0"/>
    </xf>
    <xf numFmtId="0" fontId="7" fillId="0" borderId="2" xfId="0" applyFont="1" applyBorder="1" applyAlignment="1" applyProtection="1">
      <alignment vertical="center"/>
      <protection locked="0"/>
    </xf>
    <xf numFmtId="0" fontId="7" fillId="0" borderId="0" xfId="0" applyFont="1" applyAlignment="1" applyProtection="1">
      <alignment vertical="center"/>
      <protection locked="0"/>
    </xf>
    <xf numFmtId="0" fontId="5" fillId="0" borderId="0" xfId="0" applyFont="1" applyBorder="1" applyAlignment="1" applyProtection="1">
      <protection hidden="1"/>
    </xf>
    <xf numFmtId="0" fontId="5" fillId="0" borderId="0" xfId="0" applyFont="1" applyBorder="1" applyAlignment="1"/>
    <xf numFmtId="0" fontId="5" fillId="0" borderId="0" xfId="0" applyFont="1" applyAlignment="1"/>
    <xf numFmtId="0" fontId="5" fillId="0" borderId="0" xfId="0" applyFont="1" applyAlignment="1" applyProtection="1">
      <alignment horizontal="left" vertical="center"/>
    </xf>
    <xf numFmtId="0" fontId="5" fillId="0" borderId="0" xfId="0" applyFont="1" applyBorder="1" applyAlignment="1" applyProtection="1">
      <alignment vertical="center"/>
      <protection hidden="1"/>
    </xf>
    <xf numFmtId="0" fontId="6" fillId="0" borderId="0" xfId="0" applyFont="1" applyBorder="1" applyAlignment="1" applyProtection="1">
      <protection hidden="1"/>
    </xf>
    <xf numFmtId="0" fontId="33" fillId="0" borderId="0" xfId="0" applyFont="1"/>
    <xf numFmtId="0" fontId="5" fillId="0" borderId="0" xfId="0" applyFont="1" applyAlignment="1" applyProtection="1">
      <protection hidden="1"/>
    </xf>
    <xf numFmtId="0" fontId="5" fillId="0" borderId="0" xfId="0" applyFont="1" applyAlignment="1" applyProtection="1">
      <alignment horizontal="center"/>
      <protection hidden="1"/>
    </xf>
    <xf numFmtId="0" fontId="5" fillId="0" borderId="0" xfId="0" applyFont="1" applyAlignment="1" applyProtection="1">
      <alignment horizontal="right"/>
      <protection hidden="1"/>
    </xf>
    <xf numFmtId="0" fontId="5" fillId="0" borderId="0" xfId="0" applyFont="1" applyProtection="1">
      <protection hidden="1"/>
    </xf>
    <xf numFmtId="165" fontId="5" fillId="0" borderId="0" xfId="0" applyNumberFormat="1" applyFont="1" applyBorder="1" applyAlignment="1" applyProtection="1">
      <protection hidden="1"/>
    </xf>
    <xf numFmtId="0" fontId="5" fillId="0" borderId="0" xfId="0" applyNumberFormat="1" applyFont="1" applyAlignment="1" applyProtection="1">
      <protection hidden="1"/>
    </xf>
    <xf numFmtId="165" fontId="5" fillId="0" borderId="0" xfId="0" applyNumberFormat="1" applyFont="1" applyAlignment="1" applyProtection="1">
      <protection hidden="1"/>
    </xf>
    <xf numFmtId="0" fontId="5" fillId="0" borderId="0" xfId="0" applyFont="1" applyBorder="1" applyAlignment="1" applyProtection="1">
      <alignment horizontal="center" vertical="center"/>
      <protection hidden="1"/>
    </xf>
    <xf numFmtId="16" fontId="5" fillId="0" borderId="0" xfId="0" applyNumberFormat="1" applyFont="1" applyBorder="1" applyAlignment="1" applyProtection="1">
      <alignment vertical="center"/>
      <protection hidden="1"/>
    </xf>
    <xf numFmtId="167" fontId="5" fillId="0" borderId="0" xfId="0" applyNumberFormat="1" applyFont="1" applyBorder="1" applyAlignment="1" applyProtection="1">
      <alignment horizontal="right" vertical="center"/>
      <protection hidden="1"/>
    </xf>
    <xf numFmtId="167" fontId="5" fillId="0" borderId="0" xfId="0" applyNumberFormat="1" applyFont="1" applyAlignment="1" applyProtection="1">
      <protection hidden="1"/>
    </xf>
    <xf numFmtId="16" fontId="8" fillId="0" borderId="0" xfId="0" applyNumberFormat="1" applyFont="1" applyBorder="1" applyAlignment="1" applyProtection="1">
      <alignment horizontal="right" vertical="center" wrapText="1" shrinkToFit="1"/>
      <protection hidden="1"/>
    </xf>
    <xf numFmtId="165" fontId="8" fillId="0" borderId="0" xfId="0" applyNumberFormat="1" applyFont="1" applyBorder="1" applyAlignment="1" applyProtection="1">
      <alignment horizontal="right" vertical="center"/>
      <protection hidden="1"/>
    </xf>
    <xf numFmtId="0" fontId="5" fillId="0" borderId="0" xfId="0" applyFont="1" applyBorder="1" applyAlignment="1">
      <alignment horizontal="left" vertical="center" indent="1"/>
    </xf>
    <xf numFmtId="0" fontId="5" fillId="0" borderId="0" xfId="0" applyFont="1" applyBorder="1" applyAlignment="1" applyProtection="1">
      <alignment horizontal="left" vertical="center" indent="1"/>
      <protection hidden="1"/>
    </xf>
    <xf numFmtId="0" fontId="29" fillId="0" borderId="0" xfId="0" applyFont="1" applyAlignment="1" applyProtection="1">
      <alignment horizontal="left" vertical="center"/>
    </xf>
    <xf numFmtId="0" fontId="30" fillId="0" borderId="0" xfId="0" applyFont="1" applyBorder="1" applyProtection="1">
      <protection hidden="1"/>
    </xf>
    <xf numFmtId="0" fontId="5" fillId="0" borderId="0" xfId="0" applyFont="1" applyFill="1" applyBorder="1" applyAlignment="1" applyProtection="1">
      <protection hidden="1"/>
    </xf>
    <xf numFmtId="0" fontId="8" fillId="0" borderId="0" xfId="0" applyFont="1"/>
    <xf numFmtId="167" fontId="5" fillId="0" borderId="0" xfId="0" applyNumberFormat="1" applyFont="1" applyAlignment="1" applyProtection="1">
      <alignment horizontal="right"/>
      <protection hidden="1"/>
    </xf>
    <xf numFmtId="0" fontId="7" fillId="3" borderId="25" xfId="0" applyFont="1" applyFill="1" applyBorder="1" applyAlignment="1" applyProtection="1">
      <alignment vertical="center"/>
      <protection locked="0"/>
    </xf>
    <xf numFmtId="0" fontId="7" fillId="3" borderId="11" xfId="0" applyFont="1" applyFill="1" applyBorder="1" applyAlignment="1" applyProtection="1">
      <alignment horizontal="center" vertical="center"/>
      <protection locked="0"/>
    </xf>
    <xf numFmtId="0" fontId="7" fillId="3" borderId="41" xfId="0" applyFont="1" applyFill="1" applyBorder="1" applyAlignment="1" applyProtection="1">
      <alignment vertical="center"/>
      <protection locked="0"/>
    </xf>
    <xf numFmtId="0" fontId="13" fillId="16" borderId="40" xfId="0" applyFont="1" applyFill="1" applyBorder="1" applyAlignment="1" applyProtection="1">
      <alignment vertical="center"/>
      <protection locked="0"/>
    </xf>
    <xf numFmtId="0" fontId="7" fillId="3" borderId="12" xfId="0" applyFont="1" applyFill="1" applyBorder="1" applyAlignment="1" applyProtection="1">
      <alignment vertical="center"/>
      <protection locked="0"/>
    </xf>
    <xf numFmtId="0" fontId="7" fillId="5" borderId="0" xfId="0" applyFont="1" applyFill="1" applyBorder="1" applyAlignment="1">
      <alignment vertical="center"/>
    </xf>
    <xf numFmtId="0" fontId="7" fillId="5" borderId="0" xfId="0" applyFont="1" applyFill="1" applyBorder="1" applyAlignment="1">
      <alignment horizontal="center" vertical="center"/>
    </xf>
    <xf numFmtId="0" fontId="3" fillId="0" borderId="8" xfId="0" applyFont="1" applyBorder="1" applyAlignment="1">
      <alignment horizontal="center" vertical="center"/>
    </xf>
    <xf numFmtId="164" fontId="7" fillId="0" borderId="8" xfId="2" applyFont="1" applyBorder="1" applyAlignment="1">
      <alignment horizontal="center" vertical="center"/>
    </xf>
    <xf numFmtId="0" fontId="7" fillId="0" borderId="8" xfId="0" applyFont="1" applyBorder="1" applyAlignment="1">
      <alignment horizontal="center" vertical="center"/>
    </xf>
    <xf numFmtId="0" fontId="6" fillId="0" borderId="0" xfId="0" applyFont="1" applyBorder="1" applyAlignment="1">
      <alignment horizontal="center" vertical="center" textRotation="255"/>
    </xf>
    <xf numFmtId="0" fontId="7" fillId="0" borderId="0" xfId="0" applyFont="1" applyAlignment="1">
      <alignment horizontal="left" vertical="center" wrapText="1"/>
    </xf>
    <xf numFmtId="0" fontId="7" fillId="6" borderId="37" xfId="0" applyFont="1" applyFill="1" applyBorder="1" applyAlignment="1" applyProtection="1">
      <alignment horizontal="center" vertical="center" wrapText="1"/>
      <protection locked="0"/>
    </xf>
    <xf numFmtId="0" fontId="7" fillId="6" borderId="0" xfId="0" applyFont="1" applyFill="1" applyBorder="1" applyAlignment="1" applyProtection="1">
      <alignment horizontal="center" vertical="center" wrapText="1"/>
      <protection locked="0"/>
    </xf>
    <xf numFmtId="0" fontId="14" fillId="4" borderId="1" xfId="0" applyFont="1" applyFill="1" applyBorder="1" applyAlignment="1" applyProtection="1">
      <alignment horizontal="center" vertical="center"/>
      <protection hidden="1"/>
    </xf>
    <xf numFmtId="0" fontId="14" fillId="4" borderId="0" xfId="0" applyFont="1" applyFill="1" applyBorder="1" applyAlignment="1" applyProtection="1">
      <alignment horizontal="center" vertical="center"/>
      <protection hidden="1"/>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6" xfId="0" applyFont="1" applyBorder="1" applyAlignment="1">
      <alignment horizontal="center" vertical="center"/>
    </xf>
    <xf numFmtId="166" fontId="7" fillId="6" borderId="18" xfId="0" applyNumberFormat="1" applyFont="1" applyFill="1" applyBorder="1" applyAlignment="1" applyProtection="1">
      <alignment horizontal="center" vertical="center"/>
      <protection hidden="1"/>
    </xf>
    <xf numFmtId="166" fontId="7" fillId="6" borderId="17" xfId="0" applyNumberFormat="1" applyFont="1" applyFill="1" applyBorder="1" applyAlignment="1" applyProtection="1">
      <alignment horizontal="center" vertical="center"/>
      <protection hidden="1"/>
    </xf>
    <xf numFmtId="0" fontId="7" fillId="11" borderId="0" xfId="0" applyFont="1" applyFill="1" applyAlignment="1" applyProtection="1">
      <alignment horizontal="center" vertical="center" wrapText="1"/>
      <protection locked="0"/>
    </xf>
    <xf numFmtId="0" fontId="13" fillId="0" borderId="0" xfId="0" applyFont="1" applyBorder="1" applyAlignment="1" applyProtection="1">
      <alignment horizontal="center" vertical="center"/>
      <protection hidden="1"/>
    </xf>
    <xf numFmtId="0" fontId="14" fillId="5" borderId="0" xfId="1" applyFont="1" applyFill="1" applyAlignment="1" applyProtection="1">
      <alignment horizontal="center" vertical="center"/>
      <protection hidden="1"/>
    </xf>
    <xf numFmtId="0" fontId="14" fillId="5" borderId="0" xfId="0" applyFont="1" applyFill="1" applyAlignment="1" applyProtection="1">
      <alignment horizontal="center" vertical="center"/>
      <protection hidden="1"/>
    </xf>
    <xf numFmtId="0" fontId="23" fillId="4" borderId="0" xfId="0" applyFont="1" applyFill="1" applyBorder="1" applyAlignment="1" applyProtection="1">
      <alignment horizontal="center" vertical="center"/>
      <protection hidden="1"/>
    </xf>
    <xf numFmtId="0" fontId="7" fillId="0" borderId="0" xfId="0" applyFont="1" applyAlignment="1" applyProtection="1">
      <alignment horizontal="left"/>
      <protection hidden="1"/>
    </xf>
    <xf numFmtId="0" fontId="7" fillId="3" borderId="0" xfId="0" applyFont="1" applyFill="1" applyBorder="1" applyAlignment="1" applyProtection="1">
      <alignment horizontal="left" vertical="center"/>
      <protection locked="0" hidden="1"/>
    </xf>
    <xf numFmtId="0" fontId="13" fillId="12" borderId="0" xfId="0" applyFont="1" applyFill="1" applyBorder="1" applyAlignment="1" applyProtection="1">
      <alignment horizontal="left" vertical="center"/>
      <protection locked="0" hidden="1"/>
    </xf>
    <xf numFmtId="0" fontId="23" fillId="14" borderId="0" xfId="0" applyFont="1" applyFill="1" applyBorder="1" applyAlignment="1" applyProtection="1">
      <alignment horizontal="left" vertical="center"/>
      <protection hidden="1"/>
    </xf>
    <xf numFmtId="0" fontId="23" fillId="15" borderId="0" xfId="0" applyFont="1" applyFill="1" applyBorder="1" applyAlignment="1" applyProtection="1">
      <alignment horizontal="left" vertical="center"/>
      <protection hidden="1"/>
    </xf>
    <xf numFmtId="0" fontId="23" fillId="4" borderId="0" xfId="0" applyFont="1" applyFill="1" applyBorder="1" applyAlignment="1" applyProtection="1">
      <alignment horizontal="left" vertical="center"/>
      <protection hidden="1"/>
    </xf>
    <xf numFmtId="0" fontId="23" fillId="9" borderId="0" xfId="0" applyFont="1" applyFill="1" applyBorder="1" applyAlignment="1" applyProtection="1">
      <alignment horizontal="left" vertical="center"/>
      <protection hidden="1"/>
    </xf>
    <xf numFmtId="0" fontId="7" fillId="0" borderId="0" xfId="0" applyFont="1" applyBorder="1" applyAlignment="1" applyProtection="1">
      <alignment horizontal="left" vertical="center"/>
      <protection locked="0" hidden="1"/>
    </xf>
    <xf numFmtId="0" fontId="22" fillId="12" borderId="0" xfId="0" applyFont="1" applyFill="1" applyBorder="1" applyAlignment="1" applyProtection="1">
      <alignment horizontal="left" vertical="center"/>
      <protection locked="0" hidden="1"/>
    </xf>
    <xf numFmtId="0" fontId="23" fillId="7" borderId="0" xfId="0" applyFont="1" applyFill="1" applyBorder="1" applyAlignment="1" applyProtection="1">
      <alignment horizontal="left" vertical="center"/>
      <protection hidden="1"/>
    </xf>
    <xf numFmtId="0" fontId="24" fillId="8" borderId="0" xfId="0" applyFont="1" applyFill="1" applyBorder="1" applyAlignment="1" applyProtection="1">
      <alignment horizontal="left" vertical="center"/>
      <protection hidden="1"/>
    </xf>
    <xf numFmtId="0" fontId="28" fillId="0" borderId="27" xfId="0" applyFont="1" applyFill="1" applyBorder="1" applyAlignment="1" applyProtection="1">
      <alignment horizontal="left" vertical="center"/>
      <protection hidden="1"/>
    </xf>
    <xf numFmtId="0" fontId="20" fillId="5" borderId="0" xfId="0" applyFont="1" applyFill="1" applyBorder="1" applyAlignment="1" applyProtection="1">
      <alignment horizontal="center" vertical="center" textRotation="255"/>
      <protection hidden="1"/>
    </xf>
    <xf numFmtId="0" fontId="26" fillId="0" borderId="4" xfId="0" applyFont="1" applyBorder="1" applyAlignment="1" applyProtection="1">
      <alignment horizontal="center" vertical="center" wrapText="1"/>
      <protection hidden="1"/>
    </xf>
    <xf numFmtId="0" fontId="26" fillId="0" borderId="5" xfId="0" applyFont="1" applyBorder="1" applyAlignment="1" applyProtection="1">
      <alignment horizontal="center" vertical="center" wrapText="1"/>
      <protection hidden="1"/>
    </xf>
    <xf numFmtId="0" fontId="17" fillId="0" borderId="22" xfId="0" applyFont="1" applyBorder="1" applyAlignment="1" applyProtection="1">
      <alignment horizontal="center" vertical="center" wrapText="1"/>
      <protection hidden="1"/>
    </xf>
    <xf numFmtId="0" fontId="17" fillId="0" borderId="23" xfId="0" applyFont="1" applyBorder="1" applyAlignment="1" applyProtection="1">
      <alignment horizontal="center" vertical="center" wrapText="1"/>
      <protection hidden="1"/>
    </xf>
    <xf numFmtId="0" fontId="17" fillId="0" borderId="8" xfId="0" applyFont="1" applyBorder="1" applyAlignment="1" applyProtection="1">
      <alignment horizontal="center" vertical="center" wrapText="1"/>
      <protection hidden="1"/>
    </xf>
    <xf numFmtId="0" fontId="17" fillId="0" borderId="9" xfId="0" applyFont="1" applyBorder="1" applyAlignment="1" applyProtection="1">
      <alignment horizontal="center" vertical="center" wrapText="1"/>
      <protection hidden="1"/>
    </xf>
    <xf numFmtId="0" fontId="16" fillId="0" borderId="32" xfId="0" applyFont="1" applyBorder="1" applyAlignment="1" applyProtection="1">
      <alignment horizontal="center" vertical="center" wrapText="1"/>
      <protection hidden="1"/>
    </xf>
    <xf numFmtId="0" fontId="16" fillId="0" borderId="27" xfId="0" applyFont="1" applyBorder="1" applyAlignment="1" applyProtection="1">
      <alignment horizontal="center" vertical="center" wrapText="1"/>
      <protection hidden="1"/>
    </xf>
    <xf numFmtId="0" fontId="16" fillId="0" borderId="33" xfId="0" applyFont="1" applyBorder="1" applyAlignment="1" applyProtection="1">
      <alignment horizontal="center" vertical="center" wrapText="1"/>
      <protection hidden="1"/>
    </xf>
    <xf numFmtId="0" fontId="16" fillId="0" borderId="34" xfId="0" applyFont="1" applyBorder="1" applyAlignment="1" applyProtection="1">
      <alignment horizontal="center" vertical="center" wrapText="1"/>
      <protection hidden="1"/>
    </xf>
    <xf numFmtId="0" fontId="16" fillId="0" borderId="35" xfId="0" applyFont="1" applyBorder="1" applyAlignment="1" applyProtection="1">
      <alignment horizontal="center" vertical="center" wrapText="1"/>
      <protection hidden="1"/>
    </xf>
    <xf numFmtId="0" fontId="16" fillId="0" borderId="36" xfId="0" applyFont="1" applyBorder="1" applyAlignment="1" applyProtection="1">
      <alignment horizontal="center" vertical="center" wrapText="1"/>
      <protection hidden="1"/>
    </xf>
    <xf numFmtId="0" fontId="21" fillId="5" borderId="29" xfId="0" applyFont="1" applyFill="1" applyBorder="1" applyAlignment="1" applyProtection="1">
      <alignment horizontal="center" vertical="center" wrapText="1"/>
      <protection hidden="1"/>
    </xf>
    <xf numFmtId="0" fontId="21" fillId="5" borderId="30" xfId="0" applyFont="1" applyFill="1" applyBorder="1" applyAlignment="1" applyProtection="1">
      <alignment horizontal="center" vertical="center" wrapText="1"/>
      <protection hidden="1"/>
    </xf>
    <xf numFmtId="0" fontId="21" fillId="5" borderId="31" xfId="0" applyFont="1" applyFill="1" applyBorder="1" applyAlignment="1" applyProtection="1">
      <alignment horizontal="center" vertical="center" wrapText="1"/>
      <protection hidden="1"/>
    </xf>
    <xf numFmtId="0" fontId="21" fillId="5" borderId="32" xfId="0" applyFont="1" applyFill="1" applyBorder="1" applyAlignment="1" applyProtection="1">
      <alignment horizontal="center" vertical="center" wrapText="1"/>
      <protection hidden="1"/>
    </xf>
    <xf numFmtId="0" fontId="21" fillId="5" borderId="27" xfId="0" applyFont="1" applyFill="1" applyBorder="1" applyAlignment="1" applyProtection="1">
      <alignment horizontal="center" vertical="center" wrapText="1"/>
      <protection hidden="1"/>
    </xf>
    <xf numFmtId="0" fontId="21" fillId="5" borderId="33" xfId="0" applyFont="1" applyFill="1" applyBorder="1" applyAlignment="1" applyProtection="1">
      <alignment horizontal="center" vertical="center" wrapText="1"/>
      <protection hidden="1"/>
    </xf>
    <xf numFmtId="0" fontId="17" fillId="0" borderId="21" xfId="0" applyFont="1" applyBorder="1" applyAlignment="1" applyProtection="1">
      <alignment horizontal="center" vertical="center" wrapText="1"/>
      <protection hidden="1"/>
    </xf>
    <xf numFmtId="0" fontId="17" fillId="0" borderId="10" xfId="0" applyFont="1" applyBorder="1" applyAlignment="1" applyProtection="1">
      <alignment horizontal="center" vertical="center" wrapText="1"/>
      <protection hidden="1"/>
    </xf>
    <xf numFmtId="0" fontId="3" fillId="0" borderId="1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6" fillId="2" borderId="11"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3" fillId="0" borderId="11"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0" fillId="0" borderId="11" xfId="1" applyFont="1" applyBorder="1" applyAlignment="1" applyProtection="1">
      <alignment horizontal="center" vertical="center"/>
    </xf>
    <xf numFmtId="0" fontId="10" fillId="0" borderId="4" xfId="1" applyFont="1" applyBorder="1" applyAlignment="1" applyProtection="1">
      <alignment horizontal="center" vertical="center"/>
    </xf>
    <xf numFmtId="0" fontId="10" fillId="0" borderId="5" xfId="1" applyFont="1" applyBorder="1" applyAlignment="1" applyProtection="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164" fontId="7" fillId="0" borderId="3" xfId="2" applyFont="1" applyBorder="1" applyAlignment="1">
      <alignment horizontal="center" vertical="center"/>
    </xf>
    <xf numFmtId="164" fontId="7" fillId="0" borderId="6" xfId="2" applyFont="1" applyBorder="1" applyAlignment="1">
      <alignment horizontal="center" vertical="center"/>
    </xf>
    <xf numFmtId="164" fontId="7" fillId="0" borderId="7" xfId="2" applyFont="1" applyBorder="1" applyAlignment="1">
      <alignment horizontal="center" vertical="center"/>
    </xf>
    <xf numFmtId="164" fontId="7" fillId="0" borderId="10" xfId="2" applyFont="1" applyBorder="1" applyAlignment="1">
      <alignment horizontal="center" vertical="center"/>
    </xf>
    <xf numFmtId="164" fontId="7" fillId="0" borderId="8" xfId="2" applyFont="1" applyBorder="1" applyAlignment="1">
      <alignment horizontal="center" vertical="center"/>
    </xf>
    <xf numFmtId="164" fontId="7" fillId="0" borderId="9" xfId="2" applyFont="1"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0" fillId="0" borderId="11" xfId="1" applyFont="1" applyBorder="1" applyAlignment="1" applyProtection="1">
      <alignment vertical="center"/>
    </xf>
    <xf numFmtId="0" fontId="10" fillId="0" borderId="4" xfId="1" applyFont="1" applyBorder="1" applyAlignment="1" applyProtection="1">
      <alignment vertical="center"/>
    </xf>
    <xf numFmtId="0" fontId="10" fillId="0" borderId="5" xfId="1" applyFont="1" applyBorder="1" applyAlignment="1" applyProtection="1">
      <alignment vertical="center"/>
    </xf>
    <xf numFmtId="0" fontId="30" fillId="0" borderId="0" xfId="0" applyFont="1" applyFill="1" applyBorder="1" applyAlignment="1">
      <alignment horizontal="center" vertical="center" wrapText="1"/>
    </xf>
  </cellXfs>
  <cellStyles count="3">
    <cellStyle name="Hyperlink" xfId="1" builtinId="8"/>
    <cellStyle name="Komma" xfId="2" builtinId="3"/>
    <cellStyle name="Standard" xfId="0" builtinId="0"/>
  </cellStyles>
  <dxfs count="144">
    <dxf>
      <font>
        <color theme="0"/>
      </font>
    </dxf>
    <dxf>
      <font>
        <color theme="0"/>
      </font>
    </dxf>
    <dxf>
      <font>
        <color theme="0"/>
      </font>
    </dxf>
    <dxf>
      <font>
        <color theme="0"/>
      </font>
    </dxf>
    <dxf>
      <fill>
        <patternFill>
          <bgColor theme="4" tint="0.79998168889431442"/>
        </patternFill>
      </fill>
    </dxf>
    <dxf>
      <fill>
        <patternFill>
          <bgColor theme="7" tint="0.79998168889431442"/>
        </patternFill>
      </fill>
    </dxf>
    <dxf>
      <fill>
        <patternFill>
          <bgColor theme="9" tint="0.79998168889431442"/>
        </patternFill>
      </fill>
    </dxf>
    <dxf>
      <border>
        <left/>
        <right/>
        <top style="thin">
          <color theme="0"/>
        </top>
        <bottom style="thin">
          <color theme="0"/>
        </bottom>
        <vertical/>
        <horizontal/>
      </border>
    </dxf>
    <dxf>
      <border>
        <left/>
        <right/>
        <top style="thin">
          <color theme="0"/>
        </top>
        <bottom style="thin">
          <color theme="0"/>
        </bottom>
        <vertical/>
        <horizontal/>
      </border>
    </dxf>
    <dxf>
      <border>
        <left/>
        <right/>
        <top style="thin">
          <color theme="0"/>
        </top>
        <bottom style="thin">
          <color theme="0"/>
        </bottom>
        <vertical/>
        <horizontal/>
      </border>
    </dxf>
    <dxf>
      <border>
        <left/>
        <right/>
        <top style="thin">
          <color theme="0"/>
        </top>
        <bottom style="thin">
          <color theme="0"/>
        </bottom>
        <vertical/>
        <horizontal/>
      </border>
    </dxf>
    <dxf>
      <font>
        <color theme="0"/>
      </font>
      <fill>
        <patternFill>
          <bgColor rgb="FF0000FF"/>
        </patternFill>
      </fill>
    </dxf>
    <dxf>
      <font>
        <color theme="0"/>
      </font>
      <fill>
        <patternFill>
          <bgColor theme="6" tint="-0.24994659260841701"/>
        </patternFill>
      </fill>
    </dxf>
    <dxf>
      <font>
        <color theme="0"/>
      </font>
      <fill>
        <patternFill>
          <bgColor rgb="FF7030A0"/>
        </patternFill>
      </fill>
    </dxf>
    <dxf>
      <fill>
        <patternFill>
          <bgColor rgb="FFFFFF00"/>
        </patternFill>
      </fill>
    </dxf>
    <dxf>
      <font>
        <color theme="0"/>
      </font>
      <fill>
        <patternFill>
          <bgColor rgb="FFFF0000"/>
        </patternFill>
      </fill>
    </dxf>
    <dxf>
      <font>
        <color theme="0"/>
      </font>
      <fill>
        <patternFill>
          <bgColor theme="9" tint="-0.24994659260841701"/>
        </patternFill>
      </fill>
    </dxf>
    <dxf>
      <fill>
        <patternFill>
          <bgColor rgb="FFFFFF00"/>
        </patternFill>
      </fill>
    </dxf>
    <dxf>
      <font>
        <color theme="0"/>
      </font>
      <fill>
        <patternFill>
          <bgColor rgb="FF0000FF"/>
        </patternFill>
      </fill>
    </dxf>
    <dxf>
      <font>
        <color theme="0"/>
      </font>
      <fill>
        <patternFill>
          <bgColor theme="6" tint="-0.24994659260841701"/>
        </patternFill>
      </fill>
    </dxf>
    <dxf>
      <font>
        <color theme="0"/>
      </font>
      <fill>
        <patternFill>
          <bgColor rgb="FFFF0000"/>
        </patternFill>
      </fill>
    </dxf>
    <dxf>
      <font>
        <color theme="0"/>
      </font>
      <fill>
        <patternFill>
          <bgColor rgb="FF7030A0"/>
        </patternFill>
      </fill>
    </dxf>
    <dxf>
      <font>
        <color theme="0"/>
      </font>
      <fill>
        <patternFill>
          <bgColor theme="9" tint="-0.24994659260841701"/>
        </patternFill>
      </fill>
    </dxf>
    <dxf>
      <fill>
        <patternFill>
          <bgColor rgb="FFFFFF00"/>
        </patternFill>
      </fill>
    </dxf>
    <dxf>
      <font>
        <b/>
        <i val="0"/>
        <color theme="0"/>
      </font>
      <fill>
        <patternFill>
          <bgColor rgb="FFFF0000"/>
        </patternFill>
      </fill>
    </dxf>
    <dxf>
      <font>
        <b/>
        <i val="0"/>
        <color theme="0"/>
      </font>
      <fill>
        <patternFill>
          <bgColor rgb="FF0000FF"/>
        </patternFill>
      </fill>
    </dxf>
    <dxf>
      <font>
        <b/>
        <i val="0"/>
        <color theme="0"/>
      </font>
      <fill>
        <patternFill>
          <bgColor theme="6" tint="-0.499984740745262"/>
        </patternFill>
      </fill>
    </dxf>
    <dxf>
      <font>
        <b/>
        <i val="0"/>
        <color theme="0"/>
      </font>
      <fill>
        <patternFill>
          <bgColor rgb="FF7030A0"/>
        </patternFill>
      </fill>
    </dxf>
    <dxf>
      <font>
        <b/>
        <i val="0"/>
        <color theme="0"/>
      </font>
      <fill>
        <patternFill>
          <bgColor theme="9" tint="-0.24994659260841701"/>
        </patternFill>
      </fill>
    </dxf>
    <dxf>
      <font>
        <b/>
        <i val="0"/>
        <color theme="0"/>
      </font>
      <fill>
        <patternFill>
          <bgColor rgb="FF7030A0"/>
        </patternFill>
      </fill>
    </dxf>
    <dxf>
      <font>
        <b/>
        <i val="0"/>
        <color theme="0"/>
      </font>
      <fill>
        <patternFill>
          <bgColor theme="9" tint="-0.24994659260841701"/>
        </patternFill>
      </fill>
    </dxf>
    <dxf>
      <fill>
        <patternFill>
          <bgColor rgb="FFFFFF00"/>
        </patternFill>
      </fill>
    </dxf>
    <dxf>
      <font>
        <b/>
        <i val="0"/>
        <color theme="0"/>
      </font>
      <fill>
        <patternFill>
          <bgColor rgb="FFFF0000"/>
        </patternFill>
      </fill>
    </dxf>
    <dxf>
      <font>
        <b/>
        <i val="0"/>
        <color theme="0"/>
      </font>
      <fill>
        <patternFill>
          <bgColor rgb="FF0000FF"/>
        </patternFill>
      </fill>
    </dxf>
    <dxf>
      <font>
        <b/>
        <i val="0"/>
        <color theme="0"/>
      </font>
      <fill>
        <patternFill>
          <bgColor theme="6" tint="-0.499984740745262"/>
        </patternFill>
      </fill>
    </dxf>
    <dxf>
      <font>
        <b/>
        <i val="0"/>
        <color theme="0"/>
      </font>
      <fill>
        <patternFill>
          <bgColor rgb="FF7030A0"/>
        </patternFill>
      </fill>
    </dxf>
    <dxf>
      <font>
        <b/>
        <i val="0"/>
        <color theme="0"/>
      </font>
      <fill>
        <patternFill>
          <bgColor theme="9" tint="-0.24994659260841701"/>
        </patternFill>
      </fill>
    </dxf>
    <dxf>
      <font>
        <b/>
        <i val="0"/>
        <color theme="0"/>
      </font>
      <fill>
        <patternFill>
          <bgColor rgb="FF7030A0"/>
        </patternFill>
      </fill>
    </dxf>
    <dxf>
      <font>
        <b/>
        <i val="0"/>
        <color theme="0"/>
      </font>
      <fill>
        <patternFill>
          <bgColor theme="9" tint="-0.24994659260841701"/>
        </patternFill>
      </fill>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rgb="FFFFFF00"/>
        </patternFill>
      </fill>
    </dxf>
    <dxf>
      <font>
        <b/>
        <i val="0"/>
        <color theme="0"/>
      </font>
      <fill>
        <patternFill>
          <bgColor rgb="FFFF0000"/>
        </patternFill>
      </fill>
    </dxf>
    <dxf>
      <font>
        <b/>
        <i val="0"/>
        <color theme="0"/>
      </font>
      <fill>
        <patternFill>
          <bgColor rgb="FF0000FF"/>
        </patternFill>
      </fill>
    </dxf>
    <dxf>
      <font>
        <b/>
        <i val="0"/>
        <color theme="0"/>
      </font>
      <fill>
        <patternFill>
          <bgColor theme="6" tint="-0.499984740745262"/>
        </patternFill>
      </fill>
    </dxf>
    <dxf>
      <fill>
        <patternFill>
          <bgColor rgb="FFFFFF00"/>
        </patternFill>
      </fill>
    </dxf>
    <dxf>
      <font>
        <color theme="0"/>
      </font>
      <fill>
        <patternFill>
          <bgColor rgb="FFFF0000"/>
        </patternFill>
      </fill>
    </dxf>
    <dxf>
      <font>
        <color theme="0"/>
      </font>
      <fill>
        <patternFill>
          <bgColor rgb="FF0000FF"/>
        </patternFill>
      </fill>
    </dxf>
    <dxf>
      <font>
        <color theme="0"/>
      </font>
      <fill>
        <patternFill>
          <bgColor theme="6" tint="-0.24994659260841701"/>
        </patternFill>
      </fill>
    </dxf>
    <dxf>
      <font>
        <color theme="0"/>
      </font>
      <fill>
        <patternFill>
          <bgColor rgb="FF7030A0"/>
        </patternFill>
      </fill>
    </dxf>
    <dxf>
      <font>
        <color theme="0"/>
      </font>
      <fill>
        <patternFill>
          <bgColor theme="9" tint="-0.24994659260841701"/>
        </patternFill>
      </fill>
    </dxf>
    <dxf>
      <fill>
        <patternFill>
          <bgColor rgb="FFFFFF00"/>
        </patternFill>
      </fill>
    </dxf>
    <dxf>
      <font>
        <color theme="0"/>
      </font>
      <fill>
        <patternFill>
          <bgColor rgb="FFFF0000"/>
        </patternFill>
      </fill>
    </dxf>
    <dxf>
      <font>
        <color theme="0"/>
      </font>
      <fill>
        <patternFill>
          <bgColor rgb="FF0000FF"/>
        </patternFill>
      </fill>
    </dxf>
    <dxf>
      <font>
        <color theme="0"/>
      </font>
      <fill>
        <patternFill>
          <bgColor theme="6" tint="-0.24994659260841701"/>
        </patternFill>
      </fill>
    </dxf>
    <dxf>
      <font>
        <color theme="0"/>
      </font>
      <fill>
        <patternFill>
          <bgColor rgb="FF7030A0"/>
        </patternFill>
      </fill>
    </dxf>
    <dxf>
      <font>
        <color theme="0"/>
      </font>
      <fill>
        <patternFill>
          <bgColor theme="9" tint="-0.24994659260841701"/>
        </patternFill>
      </fill>
    </dxf>
    <dxf>
      <fill>
        <patternFill>
          <bgColor rgb="FFFFFF00"/>
        </patternFill>
      </fill>
    </dxf>
    <dxf>
      <font>
        <color theme="0"/>
      </font>
      <fill>
        <patternFill>
          <bgColor rgb="FFFF0000"/>
        </patternFill>
      </fill>
    </dxf>
    <dxf>
      <font>
        <color theme="0"/>
      </font>
      <fill>
        <patternFill>
          <bgColor rgb="FF0000FF"/>
        </patternFill>
      </fill>
    </dxf>
    <dxf>
      <font>
        <color theme="0"/>
      </font>
      <fill>
        <patternFill>
          <bgColor theme="6" tint="-0.24994659260841701"/>
        </patternFill>
      </fill>
    </dxf>
    <dxf>
      <font>
        <color theme="0"/>
      </font>
      <fill>
        <patternFill>
          <bgColor rgb="FF7030A0"/>
        </patternFill>
      </fill>
    </dxf>
    <dxf>
      <font>
        <color theme="0"/>
      </font>
      <fill>
        <patternFill>
          <bgColor theme="9" tint="-0.24994659260841701"/>
        </patternFill>
      </fill>
    </dxf>
    <dxf>
      <fill>
        <patternFill>
          <bgColor rgb="FFFFFF00"/>
        </patternFill>
      </fill>
    </dxf>
    <dxf>
      <font>
        <color theme="0"/>
      </font>
      <fill>
        <patternFill>
          <bgColor rgb="FFFF0000"/>
        </patternFill>
      </fill>
    </dxf>
    <dxf>
      <font>
        <color theme="0"/>
      </font>
      <fill>
        <patternFill>
          <bgColor rgb="FF0000FF"/>
        </patternFill>
      </fill>
    </dxf>
    <dxf>
      <font>
        <color theme="0"/>
      </font>
      <fill>
        <patternFill>
          <bgColor theme="6" tint="-0.24994659260841701"/>
        </patternFill>
      </fill>
    </dxf>
    <dxf>
      <font>
        <color theme="0"/>
      </font>
      <fill>
        <patternFill>
          <bgColor rgb="FF7030A0"/>
        </patternFill>
      </fill>
    </dxf>
    <dxf>
      <font>
        <color theme="0"/>
      </font>
      <fill>
        <patternFill>
          <bgColor theme="9" tint="-0.24994659260841701"/>
        </patternFill>
      </fill>
    </dxf>
    <dxf>
      <fill>
        <patternFill>
          <bgColor rgb="FFFFFF00"/>
        </patternFill>
      </fill>
    </dxf>
    <dxf>
      <font>
        <color theme="0"/>
      </font>
      <fill>
        <patternFill>
          <bgColor rgb="FFFF0000"/>
        </patternFill>
      </fill>
    </dxf>
    <dxf>
      <font>
        <color theme="0"/>
      </font>
      <fill>
        <patternFill>
          <bgColor rgb="FF0000FF"/>
        </patternFill>
      </fill>
    </dxf>
    <dxf>
      <font>
        <color theme="0"/>
      </font>
      <fill>
        <patternFill>
          <bgColor theme="6" tint="-0.24994659260841701"/>
        </patternFill>
      </fill>
    </dxf>
    <dxf>
      <font>
        <color theme="0"/>
      </font>
      <fill>
        <patternFill>
          <bgColor rgb="FF7030A0"/>
        </patternFill>
      </fill>
    </dxf>
    <dxf>
      <font>
        <color theme="0"/>
      </font>
      <fill>
        <patternFill>
          <bgColor theme="9" tint="-0.24994659260841701"/>
        </patternFill>
      </fill>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ont>
        <color theme="0"/>
      </font>
      <fill>
        <patternFill>
          <bgColor rgb="FF0000FF"/>
        </patternFill>
      </fill>
    </dxf>
    <dxf>
      <font>
        <color auto="1"/>
      </font>
      <fill>
        <patternFill>
          <bgColor rgb="FFFFFF00"/>
        </patternFill>
      </fill>
    </dxf>
    <dxf>
      <font>
        <color theme="0"/>
      </font>
      <fill>
        <patternFill>
          <bgColor theme="6" tint="-0.24994659260841701"/>
        </patternFill>
      </fill>
    </dxf>
    <dxf>
      <font>
        <color theme="0"/>
      </font>
      <fill>
        <patternFill>
          <bgColor rgb="FF7030A0"/>
        </patternFill>
      </fill>
    </dxf>
    <dxf>
      <font>
        <color theme="0"/>
      </font>
      <fill>
        <patternFill>
          <bgColor theme="9" tint="-0.24994659260841701"/>
        </patternFill>
      </fill>
    </dxf>
    <dxf>
      <font>
        <color theme="0"/>
      </font>
      <fill>
        <patternFill>
          <bgColor rgb="FFFF0000"/>
        </patternFill>
      </fill>
    </dxf>
    <dxf>
      <font>
        <color theme="0"/>
      </font>
      <fill>
        <patternFill>
          <bgColor rgb="FF7030A0"/>
        </patternFill>
      </fill>
    </dxf>
    <dxf>
      <font>
        <color theme="0"/>
      </font>
      <fill>
        <patternFill>
          <bgColor theme="6" tint="-0.24994659260841701"/>
        </patternFill>
      </fill>
    </dxf>
    <dxf>
      <fill>
        <patternFill>
          <bgColor rgb="FFFFFF00"/>
        </patternFill>
      </fill>
    </dxf>
    <dxf>
      <font>
        <color theme="0"/>
      </font>
      <fill>
        <patternFill>
          <bgColor rgb="FFFF0000"/>
        </patternFill>
      </fill>
    </dxf>
    <dxf>
      <font>
        <color theme="0"/>
      </font>
      <fill>
        <patternFill>
          <bgColor rgb="FF0000FF"/>
        </patternFill>
      </fill>
    </dxf>
    <dxf>
      <font>
        <color theme="0"/>
      </font>
      <fill>
        <patternFill>
          <bgColor theme="9" tint="-0.24994659260841701"/>
        </patternFill>
      </fill>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ont>
        <color theme="0"/>
      </font>
      <fill>
        <patternFill>
          <bgColor rgb="FF0000FF"/>
        </patternFill>
      </fill>
    </dxf>
    <dxf>
      <font>
        <color theme="0"/>
      </font>
      <fill>
        <patternFill>
          <bgColor theme="6" tint="-0.24994659260841701"/>
        </patternFill>
      </fill>
    </dxf>
    <dxf>
      <font>
        <color theme="1"/>
      </font>
      <fill>
        <patternFill>
          <bgColor rgb="FFFFFF00"/>
        </patternFill>
      </fill>
    </dxf>
    <dxf>
      <font>
        <color theme="0"/>
      </font>
      <fill>
        <patternFill>
          <bgColor rgb="FFFF0000"/>
        </patternFill>
      </fill>
    </dxf>
    <dxf>
      <font>
        <color theme="0"/>
      </font>
      <fill>
        <patternFill>
          <bgColor rgb="FF7030A0"/>
        </patternFill>
      </fill>
    </dxf>
    <dxf>
      <font>
        <color theme="0"/>
      </font>
      <fill>
        <patternFill>
          <bgColor theme="9" tint="-0.24994659260841701"/>
        </patternFill>
      </fill>
    </dxf>
    <dxf>
      <fill>
        <patternFill>
          <bgColor rgb="FFFFFF00"/>
        </patternFill>
      </fill>
    </dxf>
    <dxf>
      <font>
        <b/>
        <i val="0"/>
        <color theme="0"/>
      </font>
      <fill>
        <patternFill>
          <bgColor rgb="FFFF0000"/>
        </patternFill>
      </fill>
    </dxf>
    <dxf>
      <font>
        <b/>
        <i val="0"/>
        <color theme="0"/>
      </font>
      <fill>
        <patternFill>
          <bgColor rgb="FF0000FF"/>
        </patternFill>
      </fill>
    </dxf>
    <dxf>
      <font>
        <b/>
        <i val="0"/>
        <color theme="0"/>
      </font>
      <fill>
        <patternFill>
          <bgColor theme="6" tint="-0.499984740745262"/>
        </patternFill>
      </fill>
    </dxf>
    <dxf>
      <font>
        <color theme="0"/>
      </font>
      <fill>
        <patternFill>
          <bgColor rgb="FFFF0000"/>
        </patternFill>
      </fill>
    </dxf>
    <dxf>
      <font>
        <color theme="0"/>
      </font>
      <fill>
        <patternFill>
          <bgColor theme="6" tint="-0.24994659260841701"/>
        </patternFill>
      </fill>
    </dxf>
    <dxf>
      <font>
        <color theme="0"/>
      </font>
      <fill>
        <patternFill>
          <bgColor rgb="FF7030A0"/>
        </patternFill>
      </fill>
    </dxf>
    <dxf>
      <font>
        <color theme="0"/>
      </font>
      <fill>
        <patternFill>
          <bgColor theme="9" tint="-0.24994659260841701"/>
        </patternFill>
      </fill>
    </dxf>
    <dxf>
      <fill>
        <patternFill>
          <bgColor rgb="FFFFFF00"/>
        </patternFill>
      </fill>
    </dxf>
    <dxf>
      <font>
        <color theme="0"/>
      </font>
      <fill>
        <patternFill>
          <bgColor rgb="FF0000FF"/>
        </patternFill>
      </fill>
    </dxf>
    <dxf>
      <fill>
        <patternFill>
          <bgColor rgb="FFFFFF00"/>
        </patternFill>
      </fill>
    </dxf>
    <dxf>
      <font>
        <color theme="0"/>
      </font>
      <fill>
        <patternFill>
          <bgColor rgb="FFFF0000"/>
        </patternFill>
      </fill>
    </dxf>
    <dxf>
      <font>
        <color theme="0"/>
      </font>
      <fill>
        <patternFill>
          <bgColor rgb="FF0000FF"/>
        </patternFill>
      </fill>
    </dxf>
    <dxf>
      <font>
        <color theme="0"/>
      </font>
      <fill>
        <patternFill>
          <bgColor theme="6" tint="-0.24994659260841701"/>
        </patternFill>
      </fill>
    </dxf>
    <dxf>
      <font>
        <color theme="0"/>
      </font>
      <fill>
        <patternFill>
          <bgColor rgb="FF7030A0"/>
        </patternFill>
      </fill>
    </dxf>
    <dxf>
      <font>
        <color theme="0"/>
      </font>
      <fill>
        <patternFill>
          <bgColor theme="9" tint="-0.24994659260841701"/>
        </patternFill>
      </fill>
    </dxf>
    <dxf>
      <font>
        <b val="0"/>
        <i val="0"/>
        <color theme="1" tint="0.499984740745262"/>
      </font>
    </dxf>
    <dxf>
      <font>
        <b/>
        <i val="0"/>
        <color theme="6" tint="-0.24994659260841701"/>
      </font>
    </dxf>
    <dxf>
      <font>
        <b val="0"/>
        <i val="0"/>
        <color theme="1" tint="0.499984740745262"/>
      </font>
    </dxf>
    <dxf>
      <font>
        <b/>
        <i val="0"/>
        <color theme="6" tint="-0.24994659260841701"/>
      </font>
    </dxf>
    <dxf>
      <font>
        <condense val="0"/>
        <extend val="0"/>
        <color auto="1"/>
      </font>
      <border>
        <left style="thin">
          <color indexed="12"/>
        </left>
        <right style="thin">
          <color indexed="12"/>
        </right>
        <top style="thin">
          <color indexed="12"/>
        </top>
        <bottom style="thin">
          <color indexed="12"/>
        </bottom>
      </border>
    </dxf>
    <dxf>
      <fill>
        <patternFill>
          <bgColor theme="6" tint="0.79998168889431442"/>
        </patternFill>
      </fill>
      <border>
        <left style="thin">
          <color indexed="64"/>
        </left>
        <right style="thin">
          <color indexed="64"/>
        </right>
        <top style="thin">
          <color indexed="64"/>
        </top>
        <bottom style="thin">
          <color indexed="64"/>
        </bottom>
      </border>
    </dxf>
    <dxf>
      <font>
        <color theme="0"/>
      </font>
    </dxf>
  </dxfs>
  <tableStyles count="0" defaultTableStyle="TableStyleMedium2" defaultPivotStyle="PivotStyleLight16"/>
  <colors>
    <mruColors>
      <color rgb="FF0000FF"/>
      <color rgb="FF33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s>
</file>

<file path=xl/drawings/_rels/drawing2.xml.rels><?xml version="1.0" encoding="UTF-8" standalone="yes"?>
<Relationships xmlns="http://schemas.openxmlformats.org/package/2006/relationships"><Relationship Id="rId8" Type="http://schemas.openxmlformats.org/officeDocument/2006/relationships/image" Target="../media/image17.png"/><Relationship Id="rId13" Type="http://schemas.openxmlformats.org/officeDocument/2006/relationships/image" Target="../media/image35.png"/><Relationship Id="rId18" Type="http://schemas.openxmlformats.org/officeDocument/2006/relationships/image" Target="../media/image2.png"/><Relationship Id="rId26" Type="http://schemas.openxmlformats.org/officeDocument/2006/relationships/image" Target="../media/image44.emf"/><Relationship Id="rId39" Type="http://schemas.openxmlformats.org/officeDocument/2006/relationships/image" Target="../media/image57.emf"/><Relationship Id="rId3" Type="http://schemas.openxmlformats.org/officeDocument/2006/relationships/image" Target="../media/image27.png"/><Relationship Id="rId21" Type="http://schemas.openxmlformats.org/officeDocument/2006/relationships/image" Target="../media/image40.png"/><Relationship Id="rId34" Type="http://schemas.openxmlformats.org/officeDocument/2006/relationships/image" Target="../media/image52.emf"/><Relationship Id="rId42" Type="http://schemas.openxmlformats.org/officeDocument/2006/relationships/image" Target="../media/image60.emf"/><Relationship Id="rId47" Type="http://schemas.openxmlformats.org/officeDocument/2006/relationships/image" Target="../media/image65.emf"/><Relationship Id="rId7" Type="http://schemas.openxmlformats.org/officeDocument/2006/relationships/image" Target="../media/image31.png"/><Relationship Id="rId12" Type="http://schemas.openxmlformats.org/officeDocument/2006/relationships/image" Target="../media/image34.png"/><Relationship Id="rId17" Type="http://schemas.openxmlformats.org/officeDocument/2006/relationships/image" Target="../media/image37.png"/><Relationship Id="rId25" Type="http://schemas.openxmlformats.org/officeDocument/2006/relationships/image" Target="../media/image43.emf"/><Relationship Id="rId33" Type="http://schemas.openxmlformats.org/officeDocument/2006/relationships/image" Target="../media/image51.emf"/><Relationship Id="rId38" Type="http://schemas.openxmlformats.org/officeDocument/2006/relationships/image" Target="../media/image56.emf"/><Relationship Id="rId46" Type="http://schemas.openxmlformats.org/officeDocument/2006/relationships/image" Target="../media/image64.emf"/><Relationship Id="rId2" Type="http://schemas.openxmlformats.org/officeDocument/2006/relationships/image" Target="../media/image26.png"/><Relationship Id="rId16" Type="http://schemas.openxmlformats.org/officeDocument/2006/relationships/image" Target="../media/image5.png"/><Relationship Id="rId20" Type="http://schemas.openxmlformats.org/officeDocument/2006/relationships/image" Target="../media/image39.png"/><Relationship Id="rId29" Type="http://schemas.openxmlformats.org/officeDocument/2006/relationships/image" Target="../media/image47.emf"/><Relationship Id="rId41" Type="http://schemas.openxmlformats.org/officeDocument/2006/relationships/image" Target="../media/image59.emf"/><Relationship Id="rId1" Type="http://schemas.openxmlformats.org/officeDocument/2006/relationships/image" Target="../media/image25.png"/><Relationship Id="rId6" Type="http://schemas.openxmlformats.org/officeDocument/2006/relationships/image" Target="../media/image30.png"/><Relationship Id="rId11" Type="http://schemas.openxmlformats.org/officeDocument/2006/relationships/image" Target="../media/image23.png"/><Relationship Id="rId24" Type="http://schemas.openxmlformats.org/officeDocument/2006/relationships/image" Target="../media/image42.png"/><Relationship Id="rId32" Type="http://schemas.openxmlformats.org/officeDocument/2006/relationships/image" Target="../media/image50.emf"/><Relationship Id="rId37" Type="http://schemas.openxmlformats.org/officeDocument/2006/relationships/image" Target="../media/image55.emf"/><Relationship Id="rId40" Type="http://schemas.openxmlformats.org/officeDocument/2006/relationships/image" Target="../media/image58.emf"/><Relationship Id="rId45" Type="http://schemas.openxmlformats.org/officeDocument/2006/relationships/image" Target="../media/image63.emf"/><Relationship Id="rId5" Type="http://schemas.openxmlformats.org/officeDocument/2006/relationships/image" Target="../media/image29.png"/><Relationship Id="rId15" Type="http://schemas.openxmlformats.org/officeDocument/2006/relationships/image" Target="../media/image36.png"/><Relationship Id="rId23" Type="http://schemas.openxmlformats.org/officeDocument/2006/relationships/image" Target="../media/image41.png"/><Relationship Id="rId28" Type="http://schemas.openxmlformats.org/officeDocument/2006/relationships/image" Target="../media/image46.emf"/><Relationship Id="rId36" Type="http://schemas.openxmlformats.org/officeDocument/2006/relationships/image" Target="../media/image54.emf"/><Relationship Id="rId10" Type="http://schemas.openxmlformats.org/officeDocument/2006/relationships/image" Target="../media/image33.png"/><Relationship Id="rId19" Type="http://schemas.openxmlformats.org/officeDocument/2006/relationships/image" Target="../media/image38.png"/><Relationship Id="rId31" Type="http://schemas.openxmlformats.org/officeDocument/2006/relationships/image" Target="../media/image49.emf"/><Relationship Id="rId44" Type="http://schemas.openxmlformats.org/officeDocument/2006/relationships/image" Target="../media/image62.emf"/><Relationship Id="rId4" Type="http://schemas.openxmlformats.org/officeDocument/2006/relationships/image" Target="../media/image28.png"/><Relationship Id="rId9" Type="http://schemas.openxmlformats.org/officeDocument/2006/relationships/image" Target="../media/image32.png"/><Relationship Id="rId14" Type="http://schemas.openxmlformats.org/officeDocument/2006/relationships/image" Target="../media/image14.png"/><Relationship Id="rId22" Type="http://schemas.openxmlformats.org/officeDocument/2006/relationships/image" Target="../media/image9.png"/><Relationship Id="rId27" Type="http://schemas.openxmlformats.org/officeDocument/2006/relationships/image" Target="../media/image45.emf"/><Relationship Id="rId30" Type="http://schemas.openxmlformats.org/officeDocument/2006/relationships/image" Target="../media/image48.emf"/><Relationship Id="rId35" Type="http://schemas.openxmlformats.org/officeDocument/2006/relationships/image" Target="../media/image53.emf"/><Relationship Id="rId43" Type="http://schemas.openxmlformats.org/officeDocument/2006/relationships/image" Target="../media/image61.emf"/><Relationship Id="rId48" Type="http://schemas.openxmlformats.org/officeDocument/2006/relationships/image" Target="../media/image66.emf"/></Relationships>
</file>

<file path=xl/drawings/_rels/drawing3.xml.rels><?xml version="1.0" encoding="UTF-8" standalone="yes"?>
<Relationships xmlns="http://schemas.openxmlformats.org/package/2006/relationships"><Relationship Id="rId8" Type="http://schemas.openxmlformats.org/officeDocument/2006/relationships/hyperlink" Target="https://www.e-junkie.com/ecom/gb.php?i=1479953&amp;c=single&amp;cl=192175" TargetMode="External"/><Relationship Id="rId3" Type="http://schemas.openxmlformats.org/officeDocument/2006/relationships/hyperlink" Target="https://www.e-junkie.com/ecom/gb.php?i=1140675&amp;c=single&amp;cl=192175" TargetMode="External"/><Relationship Id="rId7" Type="http://schemas.openxmlformats.org/officeDocument/2006/relationships/hyperlink" Target="https://www.e-junkie.com/ecom/gb.php?i=1420161&amp;c=single&amp;cl=192175" TargetMode="External"/><Relationship Id="rId12" Type="http://schemas.openxmlformats.org/officeDocument/2006/relationships/hyperlink" Target="https://www.e-junkie.com/ecom/gb.php?i=1479952&amp;c=single&amp;cl=192175" TargetMode="External"/><Relationship Id="rId2" Type="http://schemas.openxmlformats.org/officeDocument/2006/relationships/image" Target="../media/image91.jpg"/><Relationship Id="rId1" Type="http://schemas.openxmlformats.org/officeDocument/2006/relationships/hyperlink" Target="https://www.e-junkie.com/ecom/gb.php?i=1139576&amp;c=single&amp;cl=192175" TargetMode="External"/><Relationship Id="rId6" Type="http://schemas.openxmlformats.org/officeDocument/2006/relationships/hyperlink" Target="https://www.e-junkie.com/ecom/gb.php?i=1420124&amp;c=single&amp;cl=192175" TargetMode="External"/><Relationship Id="rId11" Type="http://schemas.openxmlformats.org/officeDocument/2006/relationships/hyperlink" Target="https://www.e-junkie.com/ecom/gb.php?i=1479951&amp;c=single&amp;cl=192175" TargetMode="External"/><Relationship Id="rId5" Type="http://schemas.openxmlformats.org/officeDocument/2006/relationships/hyperlink" Target="https://www.e-junkie.com/ecom/gb.php?i=1414614&amp;c=single&amp;cl=192175" TargetMode="External"/><Relationship Id="rId10" Type="http://schemas.openxmlformats.org/officeDocument/2006/relationships/hyperlink" Target="https://www.e-junkie.com/ecom/gb.php?i=1479949&amp;c=single&amp;cl=192175" TargetMode="External"/><Relationship Id="rId4" Type="http://schemas.openxmlformats.org/officeDocument/2006/relationships/hyperlink" Target="https://www.e-junkie.com/ecom/gb.php?i=1201300&amp;c=single&amp;cl=192175" TargetMode="External"/><Relationship Id="rId9" Type="http://schemas.openxmlformats.org/officeDocument/2006/relationships/hyperlink" Target="https://www.e-junkie.com/ecom/gb.php?i=1479948&amp;c=single&amp;cl=192175" TargetMode="External"/></Relationships>
</file>

<file path=xl/drawings/_rels/vmlDrawing1.vml.rels><?xml version="1.0" encoding="UTF-8" standalone="yes"?>
<Relationships xmlns="http://schemas.openxmlformats.org/package/2006/relationships"><Relationship Id="rId8" Type="http://schemas.openxmlformats.org/officeDocument/2006/relationships/image" Target="../media/image74.emf"/><Relationship Id="rId13" Type="http://schemas.openxmlformats.org/officeDocument/2006/relationships/image" Target="../media/image79.emf"/><Relationship Id="rId18" Type="http://schemas.openxmlformats.org/officeDocument/2006/relationships/image" Target="../media/image84.emf"/><Relationship Id="rId3" Type="http://schemas.openxmlformats.org/officeDocument/2006/relationships/image" Target="../media/image69.emf"/><Relationship Id="rId21" Type="http://schemas.openxmlformats.org/officeDocument/2006/relationships/image" Target="../media/image87.emf"/><Relationship Id="rId7" Type="http://schemas.openxmlformats.org/officeDocument/2006/relationships/image" Target="../media/image73.emf"/><Relationship Id="rId12" Type="http://schemas.openxmlformats.org/officeDocument/2006/relationships/image" Target="../media/image78.emf"/><Relationship Id="rId17" Type="http://schemas.openxmlformats.org/officeDocument/2006/relationships/image" Target="../media/image83.emf"/><Relationship Id="rId2" Type="http://schemas.openxmlformats.org/officeDocument/2006/relationships/image" Target="../media/image68.emf"/><Relationship Id="rId16" Type="http://schemas.openxmlformats.org/officeDocument/2006/relationships/image" Target="../media/image82.emf"/><Relationship Id="rId20" Type="http://schemas.openxmlformats.org/officeDocument/2006/relationships/image" Target="../media/image86.emf"/><Relationship Id="rId1" Type="http://schemas.openxmlformats.org/officeDocument/2006/relationships/image" Target="../media/image67.emf"/><Relationship Id="rId6" Type="http://schemas.openxmlformats.org/officeDocument/2006/relationships/image" Target="../media/image72.emf"/><Relationship Id="rId11" Type="http://schemas.openxmlformats.org/officeDocument/2006/relationships/image" Target="../media/image77.emf"/><Relationship Id="rId24" Type="http://schemas.openxmlformats.org/officeDocument/2006/relationships/image" Target="../media/image90.emf"/><Relationship Id="rId5" Type="http://schemas.openxmlformats.org/officeDocument/2006/relationships/image" Target="../media/image71.emf"/><Relationship Id="rId15" Type="http://schemas.openxmlformats.org/officeDocument/2006/relationships/image" Target="../media/image81.emf"/><Relationship Id="rId23" Type="http://schemas.openxmlformats.org/officeDocument/2006/relationships/image" Target="../media/image89.emf"/><Relationship Id="rId10" Type="http://schemas.openxmlformats.org/officeDocument/2006/relationships/image" Target="../media/image76.emf"/><Relationship Id="rId19" Type="http://schemas.openxmlformats.org/officeDocument/2006/relationships/image" Target="../media/image85.emf"/><Relationship Id="rId4" Type="http://schemas.openxmlformats.org/officeDocument/2006/relationships/image" Target="../media/image70.emf"/><Relationship Id="rId9" Type="http://schemas.openxmlformats.org/officeDocument/2006/relationships/image" Target="../media/image75.emf"/><Relationship Id="rId14" Type="http://schemas.openxmlformats.org/officeDocument/2006/relationships/image" Target="../media/image80.emf"/><Relationship Id="rId22" Type="http://schemas.openxmlformats.org/officeDocument/2006/relationships/image" Target="../media/image88.emf"/></Relationships>
</file>

<file path=xl/drawings/drawing1.xml><?xml version="1.0" encoding="utf-8"?>
<xdr:wsDr xmlns:xdr="http://schemas.openxmlformats.org/drawingml/2006/spreadsheetDrawing" xmlns:a="http://schemas.openxmlformats.org/drawingml/2006/main">
  <xdr:twoCellAnchor editAs="oneCell">
    <xdr:from>
      <xdr:col>1</xdr:col>
      <xdr:colOff>56358</xdr:colOff>
      <xdr:row>12</xdr:row>
      <xdr:rowOff>8914</xdr:rowOff>
    </xdr:from>
    <xdr:to>
      <xdr:col>1</xdr:col>
      <xdr:colOff>218358</xdr:colOff>
      <xdr:row>12</xdr:row>
      <xdr:rowOff>170915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5498" y="2294914"/>
          <a:ext cx="162000" cy="162001"/>
        </a:xfrm>
        <a:prstGeom prst="rect">
          <a:avLst/>
        </a:prstGeom>
      </xdr:spPr>
    </xdr:pic>
    <xdr:clientData/>
  </xdr:twoCellAnchor>
  <xdr:twoCellAnchor editAs="oneCell">
    <xdr:from>
      <xdr:col>1</xdr:col>
      <xdr:colOff>56358</xdr:colOff>
      <xdr:row>15</xdr:row>
      <xdr:rowOff>6890</xdr:rowOff>
    </xdr:from>
    <xdr:to>
      <xdr:col>1</xdr:col>
      <xdr:colOff>218358</xdr:colOff>
      <xdr:row>15</xdr:row>
      <xdr:rowOff>168890</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5498" y="2864390"/>
          <a:ext cx="162000" cy="162000"/>
        </a:xfrm>
        <a:prstGeom prst="rect">
          <a:avLst/>
        </a:prstGeom>
      </xdr:spPr>
    </xdr:pic>
    <xdr:clientData/>
  </xdr:twoCellAnchor>
  <xdr:twoCellAnchor editAs="oneCell">
    <xdr:from>
      <xdr:col>1</xdr:col>
      <xdr:colOff>56358</xdr:colOff>
      <xdr:row>20</xdr:row>
      <xdr:rowOff>7749</xdr:rowOff>
    </xdr:from>
    <xdr:to>
      <xdr:col>1</xdr:col>
      <xdr:colOff>218358</xdr:colOff>
      <xdr:row>20</xdr:row>
      <xdr:rowOff>169749</xdr:rowOff>
    </xdr:to>
    <xdr:pic>
      <xdr:nvPicPr>
        <xdr:cNvPr id="4" name="Picture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95498" y="3817749"/>
          <a:ext cx="162000" cy="162000"/>
        </a:xfrm>
        <a:prstGeom prst="rect">
          <a:avLst/>
        </a:prstGeom>
      </xdr:spPr>
    </xdr:pic>
    <xdr:clientData/>
  </xdr:twoCellAnchor>
  <xdr:twoCellAnchor editAs="oneCell">
    <xdr:from>
      <xdr:col>1</xdr:col>
      <xdr:colOff>56358</xdr:colOff>
      <xdr:row>9</xdr:row>
      <xdr:rowOff>10939</xdr:rowOff>
    </xdr:from>
    <xdr:to>
      <xdr:col>1</xdr:col>
      <xdr:colOff>218358</xdr:colOff>
      <xdr:row>9</xdr:row>
      <xdr:rowOff>172939</xdr:rowOff>
    </xdr:to>
    <xdr:pic>
      <xdr:nvPicPr>
        <xdr:cNvPr id="5" name="Picture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95498" y="1725439"/>
          <a:ext cx="162000" cy="162000"/>
        </a:xfrm>
        <a:prstGeom prst="rect">
          <a:avLst/>
        </a:prstGeom>
      </xdr:spPr>
    </xdr:pic>
    <xdr:clientData/>
  </xdr:twoCellAnchor>
  <xdr:twoCellAnchor editAs="oneCell">
    <xdr:from>
      <xdr:col>1</xdr:col>
      <xdr:colOff>56358</xdr:colOff>
      <xdr:row>25</xdr:row>
      <xdr:rowOff>8606</xdr:rowOff>
    </xdr:from>
    <xdr:to>
      <xdr:col>1</xdr:col>
      <xdr:colOff>218358</xdr:colOff>
      <xdr:row>25</xdr:row>
      <xdr:rowOff>180480</xdr:rowOff>
    </xdr:to>
    <xdr:pic>
      <xdr:nvPicPr>
        <xdr:cNvPr id="6" name="Picture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95498" y="4771106"/>
          <a:ext cx="162000" cy="171874"/>
        </a:xfrm>
        <a:prstGeom prst="rect">
          <a:avLst/>
        </a:prstGeom>
      </xdr:spPr>
    </xdr:pic>
    <xdr:clientData/>
  </xdr:twoCellAnchor>
  <xdr:twoCellAnchor editAs="oneCell">
    <xdr:from>
      <xdr:col>1</xdr:col>
      <xdr:colOff>56358</xdr:colOff>
      <xdr:row>18</xdr:row>
      <xdr:rowOff>4865</xdr:rowOff>
    </xdr:from>
    <xdr:to>
      <xdr:col>1</xdr:col>
      <xdr:colOff>218358</xdr:colOff>
      <xdr:row>18</xdr:row>
      <xdr:rowOff>166865</xdr:rowOff>
    </xdr:to>
    <xdr:pic>
      <xdr:nvPicPr>
        <xdr:cNvPr id="7" name="Picture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95498" y="3433865"/>
          <a:ext cx="162000" cy="162000"/>
        </a:xfrm>
        <a:prstGeom prst="rect">
          <a:avLst/>
        </a:prstGeom>
      </xdr:spPr>
    </xdr:pic>
    <xdr:clientData/>
  </xdr:twoCellAnchor>
  <xdr:twoCellAnchor editAs="oneCell">
    <xdr:from>
      <xdr:col>1</xdr:col>
      <xdr:colOff>56358</xdr:colOff>
      <xdr:row>13</xdr:row>
      <xdr:rowOff>8240</xdr:rowOff>
    </xdr:from>
    <xdr:to>
      <xdr:col>1</xdr:col>
      <xdr:colOff>218358</xdr:colOff>
      <xdr:row>13</xdr:row>
      <xdr:rowOff>170240</xdr:rowOff>
    </xdr:to>
    <xdr:pic>
      <xdr:nvPicPr>
        <xdr:cNvPr id="8" name="Picture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95498" y="2484740"/>
          <a:ext cx="162000" cy="162000"/>
        </a:xfrm>
        <a:prstGeom prst="rect">
          <a:avLst/>
        </a:prstGeom>
      </xdr:spPr>
    </xdr:pic>
    <xdr:clientData/>
  </xdr:twoCellAnchor>
  <xdr:twoCellAnchor editAs="oneCell">
    <xdr:from>
      <xdr:col>1</xdr:col>
      <xdr:colOff>56358</xdr:colOff>
      <xdr:row>11</xdr:row>
      <xdr:rowOff>9589</xdr:rowOff>
    </xdr:from>
    <xdr:to>
      <xdr:col>1</xdr:col>
      <xdr:colOff>218358</xdr:colOff>
      <xdr:row>11</xdr:row>
      <xdr:rowOff>171589</xdr:rowOff>
    </xdr:to>
    <xdr:pic>
      <xdr:nvPicPr>
        <xdr:cNvPr id="9" name="Picture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95498" y="2105089"/>
          <a:ext cx="162000" cy="162000"/>
        </a:xfrm>
        <a:prstGeom prst="rect">
          <a:avLst/>
        </a:prstGeom>
      </xdr:spPr>
    </xdr:pic>
    <xdr:clientData/>
  </xdr:twoCellAnchor>
  <xdr:twoCellAnchor editAs="oneCell">
    <xdr:from>
      <xdr:col>1</xdr:col>
      <xdr:colOff>56358</xdr:colOff>
      <xdr:row>7</xdr:row>
      <xdr:rowOff>8055</xdr:rowOff>
    </xdr:from>
    <xdr:to>
      <xdr:col>1</xdr:col>
      <xdr:colOff>218358</xdr:colOff>
      <xdr:row>7</xdr:row>
      <xdr:rowOff>173866</xdr:rowOff>
    </xdr:to>
    <xdr:pic>
      <xdr:nvPicPr>
        <xdr:cNvPr id="10" name="Picture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95498" y="1341555"/>
          <a:ext cx="162000" cy="165811"/>
        </a:xfrm>
        <a:prstGeom prst="rect">
          <a:avLst/>
        </a:prstGeom>
      </xdr:spPr>
    </xdr:pic>
    <xdr:clientData/>
  </xdr:twoCellAnchor>
  <xdr:twoCellAnchor editAs="oneCell">
    <xdr:from>
      <xdr:col>1</xdr:col>
      <xdr:colOff>56358</xdr:colOff>
      <xdr:row>24</xdr:row>
      <xdr:rowOff>9281</xdr:rowOff>
    </xdr:from>
    <xdr:to>
      <xdr:col>1</xdr:col>
      <xdr:colOff>218358</xdr:colOff>
      <xdr:row>24</xdr:row>
      <xdr:rowOff>171281</xdr:rowOff>
    </xdr:to>
    <xdr:pic>
      <xdr:nvPicPr>
        <xdr:cNvPr id="11" name="Picture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795498" y="4581281"/>
          <a:ext cx="162000" cy="162000"/>
        </a:xfrm>
        <a:prstGeom prst="rect">
          <a:avLst/>
        </a:prstGeom>
      </xdr:spPr>
    </xdr:pic>
    <xdr:clientData/>
  </xdr:twoCellAnchor>
  <xdr:twoCellAnchor editAs="oneCell">
    <xdr:from>
      <xdr:col>1</xdr:col>
      <xdr:colOff>56358</xdr:colOff>
      <xdr:row>26</xdr:row>
      <xdr:rowOff>12165</xdr:rowOff>
    </xdr:from>
    <xdr:to>
      <xdr:col>1</xdr:col>
      <xdr:colOff>218358</xdr:colOff>
      <xdr:row>26</xdr:row>
      <xdr:rowOff>174165</xdr:rowOff>
    </xdr:to>
    <xdr:pic>
      <xdr:nvPicPr>
        <xdr:cNvPr id="12" name="Picture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95498" y="4965165"/>
          <a:ext cx="162000" cy="162000"/>
        </a:xfrm>
        <a:prstGeom prst="rect">
          <a:avLst/>
        </a:prstGeom>
      </xdr:spPr>
    </xdr:pic>
    <xdr:clientData/>
  </xdr:twoCellAnchor>
  <xdr:twoCellAnchor editAs="oneCell">
    <xdr:from>
      <xdr:col>1</xdr:col>
      <xdr:colOff>56358</xdr:colOff>
      <xdr:row>16</xdr:row>
      <xdr:rowOff>6215</xdr:rowOff>
    </xdr:from>
    <xdr:to>
      <xdr:col>1</xdr:col>
      <xdr:colOff>218358</xdr:colOff>
      <xdr:row>16</xdr:row>
      <xdr:rowOff>168215</xdr:rowOff>
    </xdr:to>
    <xdr:pic>
      <xdr:nvPicPr>
        <xdr:cNvPr id="13" name="Picture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5498" y="3054215"/>
          <a:ext cx="162000" cy="162000"/>
        </a:xfrm>
        <a:prstGeom prst="rect">
          <a:avLst/>
        </a:prstGeom>
      </xdr:spPr>
    </xdr:pic>
    <xdr:clientData/>
  </xdr:twoCellAnchor>
  <xdr:twoCellAnchor editAs="oneCell">
    <xdr:from>
      <xdr:col>1</xdr:col>
      <xdr:colOff>56358</xdr:colOff>
      <xdr:row>17</xdr:row>
      <xdr:rowOff>5540</xdr:rowOff>
    </xdr:from>
    <xdr:to>
      <xdr:col>1</xdr:col>
      <xdr:colOff>218358</xdr:colOff>
      <xdr:row>17</xdr:row>
      <xdr:rowOff>167540</xdr:rowOff>
    </xdr:to>
    <xdr:pic>
      <xdr:nvPicPr>
        <xdr:cNvPr id="14" name="Picture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95498" y="3244040"/>
          <a:ext cx="162000" cy="162000"/>
        </a:xfrm>
        <a:prstGeom prst="rect">
          <a:avLst/>
        </a:prstGeom>
      </xdr:spPr>
    </xdr:pic>
    <xdr:clientData/>
  </xdr:twoCellAnchor>
  <xdr:twoCellAnchor editAs="oneCell">
    <xdr:from>
      <xdr:col>1</xdr:col>
      <xdr:colOff>56358</xdr:colOff>
      <xdr:row>23</xdr:row>
      <xdr:rowOff>5723</xdr:rowOff>
    </xdr:from>
    <xdr:to>
      <xdr:col>1</xdr:col>
      <xdr:colOff>218358</xdr:colOff>
      <xdr:row>23</xdr:row>
      <xdr:rowOff>171533</xdr:rowOff>
    </xdr:to>
    <xdr:pic>
      <xdr:nvPicPr>
        <xdr:cNvPr id="15" name="Picture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795498" y="4387223"/>
          <a:ext cx="162000" cy="165810"/>
        </a:xfrm>
        <a:prstGeom prst="rect">
          <a:avLst/>
        </a:prstGeom>
      </xdr:spPr>
    </xdr:pic>
    <xdr:clientData/>
  </xdr:twoCellAnchor>
  <xdr:twoCellAnchor editAs="oneCell">
    <xdr:from>
      <xdr:col>1</xdr:col>
      <xdr:colOff>56358</xdr:colOff>
      <xdr:row>27</xdr:row>
      <xdr:rowOff>11490</xdr:rowOff>
    </xdr:from>
    <xdr:to>
      <xdr:col>1</xdr:col>
      <xdr:colOff>218358</xdr:colOff>
      <xdr:row>27</xdr:row>
      <xdr:rowOff>177300</xdr:rowOff>
    </xdr:to>
    <xdr:pic>
      <xdr:nvPicPr>
        <xdr:cNvPr id="16" name="Picture 15"/>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795498" y="5154990"/>
          <a:ext cx="162000" cy="165810"/>
        </a:xfrm>
        <a:prstGeom prst="rect">
          <a:avLst/>
        </a:prstGeom>
      </xdr:spPr>
    </xdr:pic>
    <xdr:clientData/>
  </xdr:twoCellAnchor>
  <xdr:twoCellAnchor editAs="oneCell">
    <xdr:from>
      <xdr:col>1</xdr:col>
      <xdr:colOff>56358</xdr:colOff>
      <xdr:row>29</xdr:row>
      <xdr:rowOff>14376</xdr:rowOff>
    </xdr:from>
    <xdr:to>
      <xdr:col>1</xdr:col>
      <xdr:colOff>218358</xdr:colOff>
      <xdr:row>29</xdr:row>
      <xdr:rowOff>176377</xdr:rowOff>
    </xdr:to>
    <xdr:pic>
      <xdr:nvPicPr>
        <xdr:cNvPr id="17" name="Picture 16"/>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795498" y="5538876"/>
          <a:ext cx="162000" cy="162001"/>
        </a:xfrm>
        <a:prstGeom prst="rect">
          <a:avLst/>
        </a:prstGeom>
      </xdr:spPr>
    </xdr:pic>
    <xdr:clientData/>
  </xdr:twoCellAnchor>
  <xdr:twoCellAnchor editAs="oneCell">
    <xdr:from>
      <xdr:col>1</xdr:col>
      <xdr:colOff>56358</xdr:colOff>
      <xdr:row>14</xdr:row>
      <xdr:rowOff>7565</xdr:rowOff>
    </xdr:from>
    <xdr:to>
      <xdr:col>1</xdr:col>
      <xdr:colOff>218358</xdr:colOff>
      <xdr:row>14</xdr:row>
      <xdr:rowOff>169565</xdr:rowOff>
    </xdr:to>
    <xdr:pic>
      <xdr:nvPicPr>
        <xdr:cNvPr id="18" name="Picture 17"/>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795498" y="2674565"/>
          <a:ext cx="162000" cy="162000"/>
        </a:xfrm>
        <a:prstGeom prst="rect">
          <a:avLst/>
        </a:prstGeom>
      </xdr:spPr>
    </xdr:pic>
    <xdr:clientData/>
  </xdr:twoCellAnchor>
  <xdr:twoCellAnchor editAs="oneCell">
    <xdr:from>
      <xdr:col>1</xdr:col>
      <xdr:colOff>56358</xdr:colOff>
      <xdr:row>6</xdr:row>
      <xdr:rowOff>8731</xdr:rowOff>
    </xdr:from>
    <xdr:to>
      <xdr:col>1</xdr:col>
      <xdr:colOff>218358</xdr:colOff>
      <xdr:row>6</xdr:row>
      <xdr:rowOff>168848</xdr:rowOff>
    </xdr:to>
    <xdr:pic>
      <xdr:nvPicPr>
        <xdr:cNvPr id="19" name="Picture 18"/>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795498" y="1151731"/>
          <a:ext cx="162000" cy="160117"/>
        </a:xfrm>
        <a:prstGeom prst="rect">
          <a:avLst/>
        </a:prstGeom>
      </xdr:spPr>
    </xdr:pic>
    <xdr:clientData/>
  </xdr:twoCellAnchor>
  <xdr:twoCellAnchor editAs="oneCell">
    <xdr:from>
      <xdr:col>1</xdr:col>
      <xdr:colOff>56358</xdr:colOff>
      <xdr:row>10</xdr:row>
      <xdr:rowOff>10264</xdr:rowOff>
    </xdr:from>
    <xdr:to>
      <xdr:col>1</xdr:col>
      <xdr:colOff>218358</xdr:colOff>
      <xdr:row>10</xdr:row>
      <xdr:rowOff>172264</xdr:rowOff>
    </xdr:to>
    <xdr:pic>
      <xdr:nvPicPr>
        <xdr:cNvPr id="20" name="Picture 19"/>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795498" y="1915264"/>
          <a:ext cx="162000" cy="162000"/>
        </a:xfrm>
        <a:prstGeom prst="rect">
          <a:avLst/>
        </a:prstGeom>
      </xdr:spPr>
    </xdr:pic>
    <xdr:clientData/>
  </xdr:twoCellAnchor>
  <xdr:twoCellAnchor editAs="oneCell">
    <xdr:from>
      <xdr:col>1</xdr:col>
      <xdr:colOff>56358</xdr:colOff>
      <xdr:row>19</xdr:row>
      <xdr:rowOff>4190</xdr:rowOff>
    </xdr:from>
    <xdr:to>
      <xdr:col>1</xdr:col>
      <xdr:colOff>218358</xdr:colOff>
      <xdr:row>19</xdr:row>
      <xdr:rowOff>170001</xdr:rowOff>
    </xdr:to>
    <xdr:pic>
      <xdr:nvPicPr>
        <xdr:cNvPr id="21" name="Picture 20"/>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795498" y="3623690"/>
          <a:ext cx="162000" cy="165811"/>
        </a:xfrm>
        <a:prstGeom prst="rect">
          <a:avLst/>
        </a:prstGeom>
      </xdr:spPr>
    </xdr:pic>
    <xdr:clientData/>
  </xdr:twoCellAnchor>
  <xdr:twoCellAnchor editAs="oneCell">
    <xdr:from>
      <xdr:col>1</xdr:col>
      <xdr:colOff>56358</xdr:colOff>
      <xdr:row>21</xdr:row>
      <xdr:rowOff>7074</xdr:rowOff>
    </xdr:from>
    <xdr:to>
      <xdr:col>1</xdr:col>
      <xdr:colOff>218358</xdr:colOff>
      <xdr:row>21</xdr:row>
      <xdr:rowOff>169074</xdr:rowOff>
    </xdr:to>
    <xdr:pic>
      <xdr:nvPicPr>
        <xdr:cNvPr id="22" name="Picture 21"/>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795498" y="4007574"/>
          <a:ext cx="162000" cy="162000"/>
        </a:xfrm>
        <a:prstGeom prst="rect">
          <a:avLst/>
        </a:prstGeom>
      </xdr:spPr>
    </xdr:pic>
    <xdr:clientData/>
  </xdr:twoCellAnchor>
  <xdr:twoCellAnchor editAs="oneCell">
    <xdr:from>
      <xdr:col>1</xdr:col>
      <xdr:colOff>56359</xdr:colOff>
      <xdr:row>22</xdr:row>
      <xdr:rowOff>6400</xdr:rowOff>
    </xdr:from>
    <xdr:to>
      <xdr:col>1</xdr:col>
      <xdr:colOff>218359</xdr:colOff>
      <xdr:row>22</xdr:row>
      <xdr:rowOff>168399</xdr:rowOff>
    </xdr:to>
    <xdr:pic>
      <xdr:nvPicPr>
        <xdr:cNvPr id="23" name="Picture 22"/>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795499" y="4197400"/>
          <a:ext cx="162000" cy="161999"/>
        </a:xfrm>
        <a:prstGeom prst="rect">
          <a:avLst/>
        </a:prstGeom>
      </xdr:spPr>
    </xdr:pic>
    <xdr:clientData/>
  </xdr:twoCellAnchor>
  <xdr:twoCellAnchor editAs="oneCell">
    <xdr:from>
      <xdr:col>1</xdr:col>
      <xdr:colOff>56358</xdr:colOff>
      <xdr:row>28</xdr:row>
      <xdr:rowOff>15048</xdr:rowOff>
    </xdr:from>
    <xdr:to>
      <xdr:col>1</xdr:col>
      <xdr:colOff>218358</xdr:colOff>
      <xdr:row>28</xdr:row>
      <xdr:rowOff>177048</xdr:rowOff>
    </xdr:to>
    <xdr:pic>
      <xdr:nvPicPr>
        <xdr:cNvPr id="24" name="Picture 23"/>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795498" y="5349048"/>
          <a:ext cx="162000" cy="162000"/>
        </a:xfrm>
        <a:prstGeom prst="rect">
          <a:avLst/>
        </a:prstGeom>
      </xdr:spPr>
    </xdr:pic>
    <xdr:clientData/>
  </xdr:twoCellAnchor>
  <xdr:twoCellAnchor editAs="oneCell">
    <xdr:from>
      <xdr:col>1</xdr:col>
      <xdr:colOff>56358</xdr:colOff>
      <xdr:row>8</xdr:row>
      <xdr:rowOff>11614</xdr:rowOff>
    </xdr:from>
    <xdr:to>
      <xdr:col>1</xdr:col>
      <xdr:colOff>218358</xdr:colOff>
      <xdr:row>8</xdr:row>
      <xdr:rowOff>173614</xdr:rowOff>
    </xdr:to>
    <xdr:pic>
      <xdr:nvPicPr>
        <xdr:cNvPr id="25" name="Picture 24"/>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795498" y="1535614"/>
          <a:ext cx="162000" cy="16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55736</xdr:colOff>
      <xdr:row>12</xdr:row>
      <xdr:rowOff>25401</xdr:rowOff>
    </xdr:from>
    <xdr:to>
      <xdr:col>8</xdr:col>
      <xdr:colOff>235736</xdr:colOff>
      <xdr:row>47</xdr:row>
      <xdr:rowOff>204270</xdr:rowOff>
    </xdr:to>
    <xdr:grpSp>
      <xdr:nvGrpSpPr>
        <xdr:cNvPr id="93" name="Group 92"/>
        <xdr:cNvGrpSpPr/>
      </xdr:nvGrpSpPr>
      <xdr:grpSpPr>
        <a:xfrm>
          <a:off x="3558819" y="2575984"/>
          <a:ext cx="180000" cy="8328036"/>
          <a:chOff x="3645601" y="2540001"/>
          <a:chExt cx="180000" cy="8179869"/>
        </a:xfrm>
      </xdr:grpSpPr>
      <xdr:pic>
        <xdr:nvPicPr>
          <xdr:cNvPr id="19" name="Picture 1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45601" y="2540001"/>
            <a:ext cx="180000" cy="180000"/>
          </a:xfrm>
          <a:prstGeom prst="rect">
            <a:avLst/>
          </a:prstGeom>
        </xdr:spPr>
      </xdr:pic>
      <xdr:pic>
        <xdr:nvPicPr>
          <xdr:cNvPr id="20" name="Picture 19"/>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45601" y="2997137"/>
            <a:ext cx="180000" cy="180000"/>
          </a:xfrm>
          <a:prstGeom prst="rect">
            <a:avLst/>
          </a:prstGeom>
        </xdr:spPr>
      </xdr:pic>
      <xdr:pic>
        <xdr:nvPicPr>
          <xdr:cNvPr id="22" name="Picture 2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645601" y="3454273"/>
            <a:ext cx="180000" cy="180000"/>
          </a:xfrm>
          <a:prstGeom prst="rect">
            <a:avLst/>
          </a:prstGeom>
        </xdr:spPr>
      </xdr:pic>
      <xdr:pic>
        <xdr:nvPicPr>
          <xdr:cNvPr id="25" name="Picture 2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645601" y="4139977"/>
            <a:ext cx="180000" cy="180000"/>
          </a:xfrm>
          <a:prstGeom prst="rect">
            <a:avLst/>
          </a:prstGeom>
        </xdr:spPr>
      </xdr:pic>
      <xdr:pic>
        <xdr:nvPicPr>
          <xdr:cNvPr id="29" name="Picture 28"/>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645601" y="4368545"/>
            <a:ext cx="180000" cy="180000"/>
          </a:xfrm>
          <a:prstGeom prst="rect">
            <a:avLst/>
          </a:prstGeom>
        </xdr:spPr>
      </xdr:pic>
      <xdr:pic>
        <xdr:nvPicPr>
          <xdr:cNvPr id="30" name="Picture 29"/>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645601" y="5054249"/>
            <a:ext cx="180000" cy="180000"/>
          </a:xfrm>
          <a:prstGeom prst="rect">
            <a:avLst/>
          </a:prstGeom>
        </xdr:spPr>
      </xdr:pic>
      <xdr:pic>
        <xdr:nvPicPr>
          <xdr:cNvPr id="31" name="Picture 30"/>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645601" y="3682841"/>
            <a:ext cx="180000" cy="180000"/>
          </a:xfrm>
          <a:prstGeom prst="rect">
            <a:avLst/>
          </a:prstGeom>
        </xdr:spPr>
      </xdr:pic>
      <xdr:pic>
        <xdr:nvPicPr>
          <xdr:cNvPr id="36" name="Picture 35"/>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645601" y="3911409"/>
            <a:ext cx="180000" cy="180000"/>
          </a:xfrm>
          <a:prstGeom prst="rect">
            <a:avLst/>
          </a:prstGeom>
        </xdr:spPr>
      </xdr:pic>
      <xdr:pic>
        <xdr:nvPicPr>
          <xdr:cNvPr id="37" name="Picture 36"/>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645601" y="3225705"/>
            <a:ext cx="180000" cy="180000"/>
          </a:xfrm>
          <a:prstGeom prst="rect">
            <a:avLst/>
          </a:prstGeom>
        </xdr:spPr>
      </xdr:pic>
      <xdr:pic>
        <xdr:nvPicPr>
          <xdr:cNvPr id="40" name="Picture 39"/>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3645601" y="4597113"/>
            <a:ext cx="180000" cy="180000"/>
          </a:xfrm>
          <a:prstGeom prst="rect">
            <a:avLst/>
          </a:prstGeom>
        </xdr:spPr>
      </xdr:pic>
      <xdr:pic>
        <xdr:nvPicPr>
          <xdr:cNvPr id="41" name="Picture 40"/>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3645601" y="4825681"/>
            <a:ext cx="180000" cy="180000"/>
          </a:xfrm>
          <a:prstGeom prst="rect">
            <a:avLst/>
          </a:prstGeom>
        </xdr:spPr>
      </xdr:pic>
      <xdr:pic>
        <xdr:nvPicPr>
          <xdr:cNvPr id="42" name="Picture 41"/>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3645601" y="2768569"/>
            <a:ext cx="180000" cy="180000"/>
          </a:xfrm>
          <a:prstGeom prst="rect">
            <a:avLst/>
          </a:prstGeom>
        </xdr:spPr>
      </xdr:pic>
      <xdr:pic>
        <xdr:nvPicPr>
          <xdr:cNvPr id="44" name="Picture 4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45601" y="5739953"/>
            <a:ext cx="180000" cy="180000"/>
          </a:xfrm>
          <a:prstGeom prst="rect">
            <a:avLst/>
          </a:prstGeom>
        </xdr:spPr>
      </xdr:pic>
      <xdr:pic>
        <xdr:nvPicPr>
          <xdr:cNvPr id="46" name="Picture 45"/>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645601" y="7568497"/>
            <a:ext cx="180000" cy="180000"/>
          </a:xfrm>
          <a:prstGeom prst="rect">
            <a:avLst/>
          </a:prstGeom>
        </xdr:spPr>
      </xdr:pic>
      <xdr:pic>
        <xdr:nvPicPr>
          <xdr:cNvPr id="47" name="Picture 46"/>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645601" y="9854177"/>
            <a:ext cx="180000" cy="180000"/>
          </a:xfrm>
          <a:prstGeom prst="rect">
            <a:avLst/>
          </a:prstGeom>
        </xdr:spPr>
      </xdr:pic>
      <xdr:pic>
        <xdr:nvPicPr>
          <xdr:cNvPr id="48" name="Picture 47"/>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645601" y="7797065"/>
            <a:ext cx="180000" cy="180000"/>
          </a:xfrm>
          <a:prstGeom prst="rect">
            <a:avLst/>
          </a:prstGeom>
        </xdr:spPr>
      </xdr:pic>
      <xdr:pic>
        <xdr:nvPicPr>
          <xdr:cNvPr id="52" name="Picture 51"/>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3645601" y="6654225"/>
            <a:ext cx="180000" cy="180000"/>
          </a:xfrm>
          <a:prstGeom prst="rect">
            <a:avLst/>
          </a:prstGeom>
        </xdr:spPr>
      </xdr:pic>
      <xdr:pic>
        <xdr:nvPicPr>
          <xdr:cNvPr id="53" name="Picture 52"/>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3645601" y="10311313"/>
            <a:ext cx="180000" cy="180000"/>
          </a:xfrm>
          <a:prstGeom prst="rect">
            <a:avLst/>
          </a:prstGeom>
        </xdr:spPr>
      </xdr:pic>
      <xdr:pic>
        <xdr:nvPicPr>
          <xdr:cNvPr id="54" name="Picture 53"/>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3645601" y="7339929"/>
            <a:ext cx="180000" cy="180000"/>
          </a:xfrm>
          <a:prstGeom prst="rect">
            <a:avLst/>
          </a:prstGeom>
        </xdr:spPr>
      </xdr:pic>
      <xdr:pic>
        <xdr:nvPicPr>
          <xdr:cNvPr id="57" name="Picture 56"/>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3645601" y="10082745"/>
            <a:ext cx="180000" cy="180000"/>
          </a:xfrm>
          <a:prstGeom prst="rect">
            <a:avLst/>
          </a:prstGeom>
        </xdr:spPr>
      </xdr:pic>
      <xdr:pic>
        <xdr:nvPicPr>
          <xdr:cNvPr id="61" name="Picture 60"/>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3645601" y="10539870"/>
            <a:ext cx="180000" cy="180000"/>
          </a:xfrm>
          <a:prstGeom prst="rect">
            <a:avLst/>
          </a:prstGeom>
        </xdr:spPr>
      </xdr:pic>
      <xdr:pic>
        <xdr:nvPicPr>
          <xdr:cNvPr id="62" name="Picture 61"/>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3645601" y="6882793"/>
            <a:ext cx="180000" cy="180000"/>
          </a:xfrm>
          <a:prstGeom prst="rect">
            <a:avLst/>
          </a:prstGeom>
        </xdr:spPr>
      </xdr:pic>
      <xdr:pic>
        <xdr:nvPicPr>
          <xdr:cNvPr id="63" name="Picture 62"/>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3645601" y="9397041"/>
            <a:ext cx="180000" cy="180000"/>
          </a:xfrm>
          <a:prstGeom prst="rect">
            <a:avLst/>
          </a:prstGeom>
        </xdr:spPr>
      </xdr:pic>
      <xdr:pic>
        <xdr:nvPicPr>
          <xdr:cNvPr id="64" name="Picture 63"/>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645601" y="7111361"/>
            <a:ext cx="180000" cy="180000"/>
          </a:xfrm>
          <a:prstGeom prst="rect">
            <a:avLst/>
          </a:prstGeom>
        </xdr:spPr>
      </xdr:pic>
      <xdr:pic>
        <xdr:nvPicPr>
          <xdr:cNvPr id="66" name="Picture 65"/>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3645601" y="8939905"/>
            <a:ext cx="180000" cy="180000"/>
          </a:xfrm>
          <a:prstGeom prst="rect">
            <a:avLst/>
          </a:prstGeom>
        </xdr:spPr>
      </xdr:pic>
      <xdr:pic>
        <xdr:nvPicPr>
          <xdr:cNvPr id="67" name="Picture 66"/>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3645601" y="6197089"/>
            <a:ext cx="180000" cy="180000"/>
          </a:xfrm>
          <a:prstGeom prst="rect">
            <a:avLst/>
          </a:prstGeom>
        </xdr:spPr>
      </xdr:pic>
      <xdr:pic>
        <xdr:nvPicPr>
          <xdr:cNvPr id="68" name="Picture 67"/>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645601" y="6425657"/>
            <a:ext cx="180000" cy="180000"/>
          </a:xfrm>
          <a:prstGeom prst="rect">
            <a:avLst/>
          </a:prstGeom>
        </xdr:spPr>
      </xdr:pic>
      <xdr:pic>
        <xdr:nvPicPr>
          <xdr:cNvPr id="71" name="Picture 70"/>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3645601" y="9625609"/>
            <a:ext cx="180000" cy="180000"/>
          </a:xfrm>
          <a:prstGeom prst="rect">
            <a:avLst/>
          </a:prstGeom>
        </xdr:spPr>
      </xdr:pic>
      <xdr:pic>
        <xdr:nvPicPr>
          <xdr:cNvPr id="75" name="Picture 74"/>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3645601" y="9168473"/>
            <a:ext cx="180000" cy="180000"/>
          </a:xfrm>
          <a:prstGeom prst="rect">
            <a:avLst/>
          </a:prstGeom>
        </xdr:spPr>
      </xdr:pic>
      <xdr:pic>
        <xdr:nvPicPr>
          <xdr:cNvPr id="79" name="Picture 78"/>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3645601" y="8711337"/>
            <a:ext cx="180000" cy="180000"/>
          </a:xfrm>
          <a:prstGeom prst="rect">
            <a:avLst/>
          </a:prstGeom>
        </xdr:spPr>
      </xdr:pic>
      <xdr:pic>
        <xdr:nvPicPr>
          <xdr:cNvPr id="80" name="Picture 79"/>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3645601" y="5511385"/>
            <a:ext cx="180000" cy="180000"/>
          </a:xfrm>
          <a:prstGeom prst="rect">
            <a:avLst/>
          </a:prstGeom>
        </xdr:spPr>
      </xdr:pic>
      <xdr:pic>
        <xdr:nvPicPr>
          <xdr:cNvPr id="81" name="Picture 80"/>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3645601" y="8025633"/>
            <a:ext cx="180000" cy="180000"/>
          </a:xfrm>
          <a:prstGeom prst="rect">
            <a:avLst/>
          </a:prstGeom>
        </xdr:spPr>
      </xdr:pic>
      <xdr:pic>
        <xdr:nvPicPr>
          <xdr:cNvPr id="83" name="Picture 82"/>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3645601" y="8254201"/>
            <a:ext cx="180000" cy="180000"/>
          </a:xfrm>
          <a:prstGeom prst="rect">
            <a:avLst/>
          </a:prstGeom>
        </xdr:spPr>
      </xdr:pic>
      <xdr:pic>
        <xdr:nvPicPr>
          <xdr:cNvPr id="84" name="Picture 83"/>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3645601" y="5282817"/>
            <a:ext cx="180000" cy="180000"/>
          </a:xfrm>
          <a:prstGeom prst="rect">
            <a:avLst/>
          </a:prstGeom>
        </xdr:spPr>
      </xdr:pic>
      <xdr:pic>
        <xdr:nvPicPr>
          <xdr:cNvPr id="85" name="Picture 84"/>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3645601" y="8482769"/>
            <a:ext cx="180000" cy="180000"/>
          </a:xfrm>
          <a:prstGeom prst="rect">
            <a:avLst/>
          </a:prstGeom>
        </xdr:spPr>
      </xdr:pic>
      <xdr:pic>
        <xdr:nvPicPr>
          <xdr:cNvPr id="90" name="Picture 8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645601" y="5968521"/>
            <a:ext cx="180000" cy="180000"/>
          </a:xfrm>
          <a:prstGeom prst="rect">
            <a:avLst/>
          </a:prstGeom>
        </xdr:spPr>
      </xdr:pic>
    </xdr:grpSp>
    <xdr:clientData/>
  </xdr:twoCellAnchor>
  <xdr:twoCellAnchor>
    <xdr:from>
      <xdr:col>12</xdr:col>
      <xdr:colOff>32737</xdr:colOff>
      <xdr:row>12</xdr:row>
      <xdr:rowOff>23135</xdr:rowOff>
    </xdr:from>
    <xdr:to>
      <xdr:col>12</xdr:col>
      <xdr:colOff>212737</xdr:colOff>
      <xdr:row>47</xdr:row>
      <xdr:rowOff>216666</xdr:rowOff>
    </xdr:to>
    <xdr:grpSp>
      <xdr:nvGrpSpPr>
        <xdr:cNvPr id="92" name="Group 91"/>
        <xdr:cNvGrpSpPr/>
      </xdr:nvGrpSpPr>
      <xdr:grpSpPr>
        <a:xfrm>
          <a:off x="4509487" y="2573718"/>
          <a:ext cx="180000" cy="8342698"/>
          <a:chOff x="4689402" y="2537735"/>
          <a:chExt cx="180000" cy="8194531"/>
        </a:xfrm>
      </xdr:grpSpPr>
      <xdr:pic>
        <xdr:nvPicPr>
          <xdr:cNvPr id="21" name="Picture 20"/>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4689402" y="3911657"/>
            <a:ext cx="180000" cy="180000"/>
          </a:xfrm>
          <a:prstGeom prst="rect">
            <a:avLst/>
          </a:prstGeom>
        </xdr:spPr>
      </xdr:pic>
      <xdr:pic>
        <xdr:nvPicPr>
          <xdr:cNvPr id="23" name="Picture 22"/>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4689402" y="2766722"/>
            <a:ext cx="180000" cy="180000"/>
          </a:xfrm>
          <a:prstGeom prst="rect">
            <a:avLst/>
          </a:prstGeom>
        </xdr:spPr>
      </xdr:pic>
      <xdr:pic>
        <xdr:nvPicPr>
          <xdr:cNvPr id="24" name="Picture 23"/>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4689402" y="4369631"/>
            <a:ext cx="180000" cy="180000"/>
          </a:xfrm>
          <a:prstGeom prst="rect">
            <a:avLst/>
          </a:prstGeom>
        </xdr:spPr>
      </xdr:pic>
      <xdr:pic>
        <xdr:nvPicPr>
          <xdr:cNvPr id="26" name="Picture 25"/>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4689402" y="2995709"/>
            <a:ext cx="180000" cy="180000"/>
          </a:xfrm>
          <a:prstGeom prst="rect">
            <a:avLst/>
          </a:prstGeom>
        </xdr:spPr>
      </xdr:pic>
      <xdr:pic>
        <xdr:nvPicPr>
          <xdr:cNvPr id="27" name="Picture 26"/>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4689402" y="3224696"/>
            <a:ext cx="180000" cy="180000"/>
          </a:xfrm>
          <a:prstGeom prst="rect">
            <a:avLst/>
          </a:prstGeom>
        </xdr:spPr>
      </xdr:pic>
      <xdr:pic>
        <xdr:nvPicPr>
          <xdr:cNvPr id="28" name="Picture 27"/>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4689402" y="2537735"/>
            <a:ext cx="180000" cy="180000"/>
          </a:xfrm>
          <a:prstGeom prst="rect">
            <a:avLst/>
          </a:prstGeom>
        </xdr:spPr>
      </xdr:pic>
      <xdr:pic>
        <xdr:nvPicPr>
          <xdr:cNvPr id="32" name="Picture 31"/>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4689402" y="3682670"/>
            <a:ext cx="180000" cy="180000"/>
          </a:xfrm>
          <a:prstGeom prst="rect">
            <a:avLst/>
          </a:prstGeom>
        </xdr:spPr>
      </xdr:pic>
      <xdr:pic>
        <xdr:nvPicPr>
          <xdr:cNvPr id="33" name="Picture 32"/>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4689402" y="4598618"/>
            <a:ext cx="180000" cy="180000"/>
          </a:xfrm>
          <a:prstGeom prst="rect">
            <a:avLst/>
          </a:prstGeom>
        </xdr:spPr>
      </xdr:pic>
      <xdr:pic>
        <xdr:nvPicPr>
          <xdr:cNvPr id="34" name="Picture 3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4689402" y="5056592"/>
            <a:ext cx="180000" cy="180000"/>
          </a:xfrm>
          <a:prstGeom prst="rect">
            <a:avLst/>
          </a:prstGeom>
        </xdr:spPr>
      </xdr:pic>
      <xdr:pic>
        <xdr:nvPicPr>
          <xdr:cNvPr id="35" name="Picture 34"/>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4689402" y="4827605"/>
            <a:ext cx="180000" cy="180000"/>
          </a:xfrm>
          <a:prstGeom prst="rect">
            <a:avLst/>
          </a:prstGeom>
        </xdr:spPr>
      </xdr:pic>
      <xdr:pic>
        <xdr:nvPicPr>
          <xdr:cNvPr id="38" name="Picture 37"/>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689402" y="4140644"/>
            <a:ext cx="180000" cy="180000"/>
          </a:xfrm>
          <a:prstGeom prst="rect">
            <a:avLst/>
          </a:prstGeom>
        </xdr:spPr>
      </xdr:pic>
      <xdr:pic>
        <xdr:nvPicPr>
          <xdr:cNvPr id="39" name="Picture 38"/>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4689402" y="3453683"/>
            <a:ext cx="180000" cy="180000"/>
          </a:xfrm>
          <a:prstGeom prst="rect">
            <a:avLst/>
          </a:prstGeom>
        </xdr:spPr>
      </xdr:pic>
      <xdr:pic>
        <xdr:nvPicPr>
          <xdr:cNvPr id="45" name="Picture 4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89402" y="8262410"/>
            <a:ext cx="180000" cy="180000"/>
          </a:xfrm>
          <a:prstGeom prst="rect">
            <a:avLst/>
          </a:prstGeom>
        </xdr:spPr>
      </xdr:pic>
      <xdr:pic>
        <xdr:nvPicPr>
          <xdr:cNvPr id="49" name="Picture 48"/>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689402" y="10094306"/>
            <a:ext cx="180000" cy="180000"/>
          </a:xfrm>
          <a:prstGeom prst="rect">
            <a:avLst/>
          </a:prstGeom>
        </xdr:spPr>
      </xdr:pic>
      <xdr:pic>
        <xdr:nvPicPr>
          <xdr:cNvPr id="50" name="Picture 49"/>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4689402" y="7804436"/>
            <a:ext cx="180000" cy="180000"/>
          </a:xfrm>
          <a:prstGeom prst="rect">
            <a:avLst/>
          </a:prstGeom>
        </xdr:spPr>
      </xdr:pic>
      <xdr:pic>
        <xdr:nvPicPr>
          <xdr:cNvPr id="51" name="Picture 50"/>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4689402" y="9865319"/>
            <a:ext cx="180000" cy="180000"/>
          </a:xfrm>
          <a:prstGeom prst="rect">
            <a:avLst/>
          </a:prstGeom>
        </xdr:spPr>
      </xdr:pic>
      <xdr:pic>
        <xdr:nvPicPr>
          <xdr:cNvPr id="55" name="Picture 54"/>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4689402" y="10552266"/>
            <a:ext cx="180000" cy="180000"/>
          </a:xfrm>
          <a:prstGeom prst="rect">
            <a:avLst/>
          </a:prstGeom>
        </xdr:spPr>
      </xdr:pic>
      <xdr:pic>
        <xdr:nvPicPr>
          <xdr:cNvPr id="56" name="Picture 55"/>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4689402" y="7575449"/>
            <a:ext cx="180000" cy="180000"/>
          </a:xfrm>
          <a:prstGeom prst="rect">
            <a:avLst/>
          </a:prstGeom>
        </xdr:spPr>
      </xdr:pic>
      <xdr:pic>
        <xdr:nvPicPr>
          <xdr:cNvPr id="58" name="Picture 57"/>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689402" y="7346462"/>
            <a:ext cx="180000" cy="180000"/>
          </a:xfrm>
          <a:prstGeom prst="rect">
            <a:avLst/>
          </a:prstGeom>
        </xdr:spPr>
      </xdr:pic>
      <xdr:pic>
        <xdr:nvPicPr>
          <xdr:cNvPr id="59" name="Picture 58"/>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689402" y="10323293"/>
            <a:ext cx="180000" cy="180000"/>
          </a:xfrm>
          <a:prstGeom prst="rect">
            <a:avLst/>
          </a:prstGeom>
        </xdr:spPr>
      </xdr:pic>
      <xdr:pic>
        <xdr:nvPicPr>
          <xdr:cNvPr id="60" name="Picture 59"/>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4689402" y="6659501"/>
            <a:ext cx="180000" cy="180000"/>
          </a:xfrm>
          <a:prstGeom prst="rect">
            <a:avLst/>
          </a:prstGeom>
        </xdr:spPr>
      </xdr:pic>
      <xdr:pic>
        <xdr:nvPicPr>
          <xdr:cNvPr id="65" name="Picture 6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689402" y="9636332"/>
            <a:ext cx="180000" cy="180000"/>
          </a:xfrm>
          <a:prstGeom prst="rect">
            <a:avLst/>
          </a:prstGeom>
        </xdr:spPr>
      </xdr:pic>
      <xdr:pic>
        <xdr:nvPicPr>
          <xdr:cNvPr id="69" name="Picture 6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4689402" y="9178358"/>
            <a:ext cx="180000" cy="180000"/>
          </a:xfrm>
          <a:prstGeom prst="rect">
            <a:avLst/>
          </a:prstGeom>
        </xdr:spPr>
      </xdr:pic>
      <xdr:pic>
        <xdr:nvPicPr>
          <xdr:cNvPr id="70" name="Picture 69"/>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4689402" y="6888488"/>
            <a:ext cx="180000" cy="180000"/>
          </a:xfrm>
          <a:prstGeom prst="rect">
            <a:avLst/>
          </a:prstGeom>
        </xdr:spPr>
      </xdr:pic>
      <xdr:pic>
        <xdr:nvPicPr>
          <xdr:cNvPr id="72" name="Picture 7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89402" y="7117475"/>
            <a:ext cx="180000" cy="180000"/>
          </a:xfrm>
          <a:prstGeom prst="rect">
            <a:avLst/>
          </a:prstGeom>
        </xdr:spPr>
      </xdr:pic>
      <xdr:pic>
        <xdr:nvPicPr>
          <xdr:cNvPr id="73" name="Picture 72"/>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89402" y="9407345"/>
            <a:ext cx="180000" cy="180000"/>
          </a:xfrm>
          <a:prstGeom prst="rect">
            <a:avLst/>
          </a:prstGeom>
        </xdr:spPr>
      </xdr:pic>
      <xdr:pic>
        <xdr:nvPicPr>
          <xdr:cNvPr id="74" name="Picture 73"/>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4689402" y="6201527"/>
            <a:ext cx="180000" cy="180000"/>
          </a:xfrm>
          <a:prstGeom prst="rect">
            <a:avLst/>
          </a:prstGeom>
        </xdr:spPr>
      </xdr:pic>
      <xdr:pic>
        <xdr:nvPicPr>
          <xdr:cNvPr id="76" name="Picture 75"/>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689402" y="6430514"/>
            <a:ext cx="180000" cy="180000"/>
          </a:xfrm>
          <a:prstGeom prst="rect">
            <a:avLst/>
          </a:prstGeom>
        </xdr:spPr>
      </xdr:pic>
      <xdr:pic>
        <xdr:nvPicPr>
          <xdr:cNvPr id="77" name="Picture 76"/>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689402" y="8949371"/>
            <a:ext cx="180000" cy="180000"/>
          </a:xfrm>
          <a:prstGeom prst="rect">
            <a:avLst/>
          </a:prstGeom>
        </xdr:spPr>
      </xdr:pic>
      <xdr:pic>
        <xdr:nvPicPr>
          <xdr:cNvPr id="78" name="Picture 77"/>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4689402" y="5285579"/>
            <a:ext cx="180000" cy="180000"/>
          </a:xfrm>
          <a:prstGeom prst="rect">
            <a:avLst/>
          </a:prstGeom>
        </xdr:spPr>
      </xdr:pic>
      <xdr:pic>
        <xdr:nvPicPr>
          <xdr:cNvPr id="82" name="Picture 81"/>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4689402" y="5514566"/>
            <a:ext cx="180000" cy="180000"/>
          </a:xfrm>
          <a:prstGeom prst="rect">
            <a:avLst/>
          </a:prstGeom>
        </xdr:spPr>
      </xdr:pic>
      <xdr:pic>
        <xdr:nvPicPr>
          <xdr:cNvPr id="86" name="Picture 8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89402" y="5972540"/>
            <a:ext cx="180000" cy="180000"/>
          </a:xfrm>
          <a:prstGeom prst="rect">
            <a:avLst/>
          </a:prstGeom>
        </xdr:spPr>
      </xdr:pic>
      <xdr:pic>
        <xdr:nvPicPr>
          <xdr:cNvPr id="87" name="Picture 8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89402" y="8491397"/>
            <a:ext cx="180000" cy="180000"/>
          </a:xfrm>
          <a:prstGeom prst="rect">
            <a:avLst/>
          </a:prstGeom>
        </xdr:spPr>
      </xdr:pic>
      <xdr:pic>
        <xdr:nvPicPr>
          <xdr:cNvPr id="88" name="Picture 87"/>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4689402" y="5743553"/>
            <a:ext cx="180000" cy="180000"/>
          </a:xfrm>
          <a:prstGeom prst="rect">
            <a:avLst/>
          </a:prstGeom>
        </xdr:spPr>
      </xdr:pic>
      <xdr:pic>
        <xdr:nvPicPr>
          <xdr:cNvPr id="89" name="Picture 88"/>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4689402" y="8033423"/>
            <a:ext cx="180000" cy="180000"/>
          </a:xfrm>
          <a:prstGeom prst="rect">
            <a:avLst/>
          </a:prstGeom>
        </xdr:spPr>
      </xdr:pic>
      <xdr:pic>
        <xdr:nvPicPr>
          <xdr:cNvPr id="91" name="Picture 90"/>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4689402" y="8720384"/>
            <a:ext cx="180000" cy="180000"/>
          </a:xfrm>
          <a:prstGeom prst="rect">
            <a:avLst/>
          </a:prstGeom>
        </xdr:spPr>
      </xdr:pic>
    </xdr:grpSp>
    <xdr:clientData/>
  </xdr:twoCellAnchor>
  <mc:AlternateContent xmlns:mc="http://schemas.openxmlformats.org/markup-compatibility/2006">
    <mc:Choice xmlns:a14="http://schemas.microsoft.com/office/drawing/2010/main" Requires="a14">
      <xdr:twoCellAnchor>
        <xdr:from>
          <xdr:col>28</xdr:col>
          <xdr:colOff>0</xdr:colOff>
          <xdr:row>11</xdr:row>
          <xdr:rowOff>16934</xdr:rowOff>
        </xdr:from>
        <xdr:to>
          <xdr:col>29</xdr:col>
          <xdr:colOff>53340</xdr:colOff>
          <xdr:row>14</xdr:row>
          <xdr:rowOff>215906</xdr:rowOff>
        </xdr:to>
        <xdr:grpSp>
          <xdr:nvGrpSpPr>
            <xdr:cNvPr id="106" name="Group 105"/>
            <xdr:cNvGrpSpPr/>
          </xdr:nvGrpSpPr>
          <xdr:grpSpPr>
            <a:xfrm>
              <a:off x="9577917" y="2334684"/>
              <a:ext cx="296756" cy="897472"/>
              <a:chOff x="10117667" y="2302934"/>
              <a:chExt cx="315806" cy="884772"/>
            </a:xfrm>
          </xdr:grpSpPr>
          <xdr:pic>
            <xdr:nvPicPr>
              <xdr:cNvPr id="97" name="Picture 96"/>
              <xdr:cNvPicPr>
                <a:picLocks noChangeAspect="1" noChangeArrowheads="1"/>
                <a:extLst>
                  <a:ext uri="{84589F7E-364E-4C9E-8A38-B11213B215E9}">
                    <a14:cameraTool cellRange="Flag1" spid="_x0000_s52106"/>
                  </a:ext>
                </a:extLst>
              </xdr:cNvPicPr>
            </xdr:nvPicPr>
            <xdr:blipFill>
              <a:blip xmlns:r="http://schemas.openxmlformats.org/officeDocument/2006/relationships" r:embed="rId25"/>
              <a:srcRect/>
              <a:stretch>
                <a:fillRect/>
              </a:stretch>
            </xdr:blipFill>
            <xdr:spPr bwMode="auto">
              <a:xfrm>
                <a:off x="10117667" y="2302934"/>
                <a:ext cx="315806" cy="198120"/>
              </a:xfrm>
              <a:prstGeom prst="rect">
                <a:avLst/>
              </a:prstGeom>
              <a:noFill/>
              <a:extLst>
                <a:ext uri="{909E8E84-426E-40DD-AFC4-6F175D3DCCD1}">
                  <a14:hiddenFill>
                    <a:solidFill>
                      <a:srgbClr val="FFFFFF"/>
                    </a:solidFill>
                  </a14:hiddenFill>
                </a:ext>
              </a:extLst>
            </xdr:spPr>
          </xdr:pic>
          <xdr:pic>
            <xdr:nvPicPr>
              <xdr:cNvPr id="98" name="Picture 97"/>
              <xdr:cNvPicPr>
                <a:picLocks noChangeAspect="1" noChangeArrowheads="1"/>
                <a:extLst>
                  <a:ext uri="{84589F7E-364E-4C9E-8A38-B11213B215E9}">
                    <a14:cameraTool cellRange="Flag2" spid="_x0000_s52107"/>
                  </a:ext>
                </a:extLst>
              </xdr:cNvPicPr>
            </xdr:nvPicPr>
            <xdr:blipFill>
              <a:blip xmlns:r="http://schemas.openxmlformats.org/officeDocument/2006/relationships" r:embed="rId26"/>
              <a:srcRect/>
              <a:stretch>
                <a:fillRect/>
              </a:stretch>
            </xdr:blipFill>
            <xdr:spPr bwMode="auto">
              <a:xfrm>
                <a:off x="10117667" y="2534358"/>
                <a:ext cx="304800" cy="190500"/>
              </a:xfrm>
              <a:prstGeom prst="rect">
                <a:avLst/>
              </a:prstGeom>
              <a:noFill/>
              <a:extLst>
                <a:ext uri="{909E8E84-426E-40DD-AFC4-6F175D3DCCD1}">
                  <a14:hiddenFill>
                    <a:solidFill>
                      <a:srgbClr val="FFFFFF"/>
                    </a:solidFill>
                  </a14:hiddenFill>
                </a:ext>
              </a:extLst>
            </xdr:spPr>
          </xdr:pic>
          <xdr:pic>
            <xdr:nvPicPr>
              <xdr:cNvPr id="99" name="Picture 98"/>
              <xdr:cNvPicPr>
                <a:picLocks noChangeAspect="1" noChangeArrowheads="1"/>
                <a:extLst>
                  <a:ext uri="{84589F7E-364E-4C9E-8A38-B11213B215E9}">
                    <a14:cameraTool cellRange="Flag3" spid="_x0000_s52108"/>
                  </a:ext>
                </a:extLst>
              </xdr:cNvPicPr>
            </xdr:nvPicPr>
            <xdr:blipFill>
              <a:blip xmlns:r="http://schemas.openxmlformats.org/officeDocument/2006/relationships" r:embed="rId27"/>
              <a:srcRect/>
              <a:stretch>
                <a:fillRect/>
              </a:stretch>
            </xdr:blipFill>
            <xdr:spPr bwMode="auto">
              <a:xfrm>
                <a:off x="10117667" y="2765782"/>
                <a:ext cx="304800" cy="190500"/>
              </a:xfrm>
              <a:prstGeom prst="rect">
                <a:avLst/>
              </a:prstGeom>
              <a:noFill/>
              <a:extLst>
                <a:ext uri="{909E8E84-426E-40DD-AFC4-6F175D3DCCD1}">
                  <a14:hiddenFill>
                    <a:solidFill>
                      <a:srgbClr val="FFFFFF"/>
                    </a:solidFill>
                  </a14:hiddenFill>
                </a:ext>
              </a:extLst>
            </xdr:spPr>
          </xdr:pic>
          <xdr:pic>
            <xdr:nvPicPr>
              <xdr:cNvPr id="100" name="Picture 99"/>
              <xdr:cNvPicPr>
                <a:picLocks noChangeAspect="1" noChangeArrowheads="1"/>
                <a:extLst>
                  <a:ext uri="{84589F7E-364E-4C9E-8A38-B11213B215E9}">
                    <a14:cameraTool cellRange="Flag4" spid="_x0000_s52109"/>
                  </a:ext>
                </a:extLst>
              </xdr:cNvPicPr>
            </xdr:nvPicPr>
            <xdr:blipFill>
              <a:blip xmlns:r="http://schemas.openxmlformats.org/officeDocument/2006/relationships" r:embed="rId28"/>
              <a:srcRect/>
              <a:stretch>
                <a:fillRect/>
              </a:stretch>
            </xdr:blipFill>
            <xdr:spPr bwMode="auto">
              <a:xfrm>
                <a:off x="10117667" y="2997206"/>
                <a:ext cx="304800" cy="190500"/>
              </a:xfrm>
              <a:prstGeom prst="rect">
                <a:avLst/>
              </a:prstGeom>
              <a:noFill/>
              <a:extLst>
                <a:ext uri="{909E8E84-426E-40DD-AFC4-6F175D3DCCD1}">
                  <a14:hiddenFill>
                    <a:solidFill>
                      <a:srgbClr val="FFFFFF"/>
                    </a:solidFill>
                  </a14:hiddenFill>
                </a:ext>
              </a:extLst>
            </xdr:spPr>
          </xdr:pic>
        </xdr:grpSp>
        <xdr:clientData/>
      </xdr:twoCellAnchor>
    </mc:Choice>
    <mc:Fallback/>
  </mc:AlternateContent>
  <mc:AlternateContent xmlns:mc="http://schemas.openxmlformats.org/markup-compatibility/2006">
    <mc:Choice xmlns:a14="http://schemas.microsoft.com/office/drawing/2010/main" Requires="a14">
      <xdr:twoCellAnchor>
        <xdr:from>
          <xdr:col>28</xdr:col>
          <xdr:colOff>8468</xdr:colOff>
          <xdr:row>16</xdr:row>
          <xdr:rowOff>16933</xdr:rowOff>
        </xdr:from>
        <xdr:to>
          <xdr:col>29</xdr:col>
          <xdr:colOff>61808</xdr:colOff>
          <xdr:row>19</xdr:row>
          <xdr:rowOff>215905</xdr:rowOff>
        </xdr:to>
        <xdr:grpSp>
          <xdr:nvGrpSpPr>
            <xdr:cNvPr id="105" name="Group 104"/>
            <xdr:cNvGrpSpPr/>
          </xdr:nvGrpSpPr>
          <xdr:grpSpPr>
            <a:xfrm>
              <a:off x="9586385" y="3498850"/>
              <a:ext cx="296756" cy="897472"/>
              <a:chOff x="10109201" y="3454400"/>
              <a:chExt cx="315806" cy="884772"/>
            </a:xfrm>
          </xdr:grpSpPr>
          <xdr:pic>
            <xdr:nvPicPr>
              <xdr:cNvPr id="101" name="Picture 100"/>
              <xdr:cNvPicPr>
                <a:picLocks noChangeAspect="1" noChangeArrowheads="1"/>
                <a:extLst>
                  <a:ext uri="{84589F7E-364E-4C9E-8A38-B11213B215E9}">
                    <a14:cameraTool cellRange="Flag5" spid="_x0000_s52110"/>
                  </a:ext>
                </a:extLst>
              </xdr:cNvPicPr>
            </xdr:nvPicPr>
            <xdr:blipFill>
              <a:blip xmlns:r="http://schemas.openxmlformats.org/officeDocument/2006/relationships" r:embed="rId29"/>
              <a:srcRect/>
              <a:stretch>
                <a:fillRect/>
              </a:stretch>
            </xdr:blipFill>
            <xdr:spPr bwMode="auto">
              <a:xfrm>
                <a:off x="10109201" y="3454400"/>
                <a:ext cx="315806" cy="198120"/>
              </a:xfrm>
              <a:prstGeom prst="rect">
                <a:avLst/>
              </a:prstGeom>
              <a:noFill/>
              <a:extLst>
                <a:ext uri="{909E8E84-426E-40DD-AFC4-6F175D3DCCD1}">
                  <a14:hiddenFill>
                    <a:solidFill>
                      <a:srgbClr val="FFFFFF"/>
                    </a:solidFill>
                  </a14:hiddenFill>
                </a:ext>
              </a:extLst>
            </xdr:spPr>
          </xdr:pic>
          <xdr:pic>
            <xdr:nvPicPr>
              <xdr:cNvPr id="102" name="Picture 101"/>
              <xdr:cNvPicPr>
                <a:picLocks noChangeAspect="1" noChangeArrowheads="1"/>
                <a:extLst>
                  <a:ext uri="{84589F7E-364E-4C9E-8A38-B11213B215E9}">
                    <a14:cameraTool cellRange="Flag6" spid="_x0000_s52111"/>
                  </a:ext>
                </a:extLst>
              </xdr:cNvPicPr>
            </xdr:nvPicPr>
            <xdr:blipFill>
              <a:blip xmlns:r="http://schemas.openxmlformats.org/officeDocument/2006/relationships" r:embed="rId30"/>
              <a:srcRect/>
              <a:stretch>
                <a:fillRect/>
              </a:stretch>
            </xdr:blipFill>
            <xdr:spPr bwMode="auto">
              <a:xfrm>
                <a:off x="10109201" y="3685824"/>
                <a:ext cx="304800" cy="190500"/>
              </a:xfrm>
              <a:prstGeom prst="rect">
                <a:avLst/>
              </a:prstGeom>
              <a:noFill/>
              <a:extLst>
                <a:ext uri="{909E8E84-426E-40DD-AFC4-6F175D3DCCD1}">
                  <a14:hiddenFill>
                    <a:solidFill>
                      <a:srgbClr val="FFFFFF"/>
                    </a:solidFill>
                  </a14:hiddenFill>
                </a:ext>
              </a:extLst>
            </xdr:spPr>
          </xdr:pic>
          <xdr:pic>
            <xdr:nvPicPr>
              <xdr:cNvPr id="103" name="Picture 102"/>
              <xdr:cNvPicPr>
                <a:picLocks noChangeAspect="1" noChangeArrowheads="1"/>
                <a:extLst>
                  <a:ext uri="{84589F7E-364E-4C9E-8A38-B11213B215E9}">
                    <a14:cameraTool cellRange="Flag7" spid="_x0000_s52112"/>
                  </a:ext>
                </a:extLst>
              </xdr:cNvPicPr>
            </xdr:nvPicPr>
            <xdr:blipFill>
              <a:blip xmlns:r="http://schemas.openxmlformats.org/officeDocument/2006/relationships" r:embed="rId31"/>
              <a:srcRect/>
              <a:stretch>
                <a:fillRect/>
              </a:stretch>
            </xdr:blipFill>
            <xdr:spPr bwMode="auto">
              <a:xfrm>
                <a:off x="10109201" y="3917248"/>
                <a:ext cx="304800" cy="190500"/>
              </a:xfrm>
              <a:prstGeom prst="rect">
                <a:avLst/>
              </a:prstGeom>
              <a:noFill/>
              <a:extLst>
                <a:ext uri="{909E8E84-426E-40DD-AFC4-6F175D3DCCD1}">
                  <a14:hiddenFill>
                    <a:solidFill>
                      <a:srgbClr val="FFFFFF"/>
                    </a:solidFill>
                  </a14:hiddenFill>
                </a:ext>
              </a:extLst>
            </xdr:spPr>
          </xdr:pic>
          <xdr:pic>
            <xdr:nvPicPr>
              <xdr:cNvPr id="104" name="Picture 103"/>
              <xdr:cNvPicPr>
                <a:picLocks noChangeAspect="1" noChangeArrowheads="1"/>
                <a:extLst>
                  <a:ext uri="{84589F7E-364E-4C9E-8A38-B11213B215E9}">
                    <a14:cameraTool cellRange="Flag8" spid="_x0000_s52113"/>
                  </a:ext>
                </a:extLst>
              </xdr:cNvPicPr>
            </xdr:nvPicPr>
            <xdr:blipFill>
              <a:blip xmlns:r="http://schemas.openxmlformats.org/officeDocument/2006/relationships" r:embed="rId32"/>
              <a:srcRect/>
              <a:stretch>
                <a:fillRect/>
              </a:stretch>
            </xdr:blipFill>
            <xdr:spPr bwMode="auto">
              <a:xfrm>
                <a:off x="10109201" y="4148672"/>
                <a:ext cx="304800" cy="190500"/>
              </a:xfrm>
              <a:prstGeom prst="rect">
                <a:avLst/>
              </a:prstGeom>
              <a:noFill/>
              <a:extLst>
                <a:ext uri="{909E8E84-426E-40DD-AFC4-6F175D3DCCD1}">
                  <a14:hiddenFill>
                    <a:solidFill>
                      <a:srgbClr val="FFFFFF"/>
                    </a:solidFill>
                  </a14:hiddenFill>
                </a:ext>
              </a:extLst>
            </xdr:spPr>
          </xdr:pic>
        </xdr:grpSp>
        <xdr:clientData/>
      </xdr:twoCellAnchor>
    </mc:Choice>
    <mc:Fallback/>
  </mc:AlternateContent>
  <mc:AlternateContent xmlns:mc="http://schemas.openxmlformats.org/markup-compatibility/2006">
    <mc:Choice xmlns:a14="http://schemas.microsoft.com/office/drawing/2010/main" Requires="a14">
      <xdr:twoCellAnchor>
        <xdr:from>
          <xdr:col>28</xdr:col>
          <xdr:colOff>8468</xdr:colOff>
          <xdr:row>21</xdr:row>
          <xdr:rowOff>8465</xdr:rowOff>
        </xdr:from>
        <xdr:to>
          <xdr:col>29</xdr:col>
          <xdr:colOff>61808</xdr:colOff>
          <xdr:row>24</xdr:row>
          <xdr:rowOff>207437</xdr:rowOff>
        </xdr:to>
        <xdr:grpSp>
          <xdr:nvGrpSpPr>
            <xdr:cNvPr id="107" name="Group 106"/>
            <xdr:cNvGrpSpPr/>
          </xdr:nvGrpSpPr>
          <xdr:grpSpPr>
            <a:xfrm>
              <a:off x="9586385" y="4654548"/>
              <a:ext cx="296756" cy="897472"/>
              <a:chOff x="10109201" y="3454400"/>
              <a:chExt cx="315806" cy="884772"/>
            </a:xfrm>
          </xdr:grpSpPr>
          <xdr:pic>
            <xdr:nvPicPr>
              <xdr:cNvPr id="108" name="Picture 107"/>
              <xdr:cNvPicPr>
                <a:picLocks noChangeAspect="1" noChangeArrowheads="1"/>
                <a:extLst>
                  <a:ext uri="{84589F7E-364E-4C9E-8A38-B11213B215E9}">
                    <a14:cameraTool cellRange="Flag9" spid="_x0000_s52114"/>
                  </a:ext>
                </a:extLst>
              </xdr:cNvPicPr>
            </xdr:nvPicPr>
            <xdr:blipFill>
              <a:blip xmlns:r="http://schemas.openxmlformats.org/officeDocument/2006/relationships" r:embed="rId33"/>
              <a:srcRect/>
              <a:stretch>
                <a:fillRect/>
              </a:stretch>
            </xdr:blipFill>
            <xdr:spPr bwMode="auto">
              <a:xfrm>
                <a:off x="10109201" y="3454400"/>
                <a:ext cx="315806" cy="198120"/>
              </a:xfrm>
              <a:prstGeom prst="rect">
                <a:avLst/>
              </a:prstGeom>
              <a:noFill/>
              <a:extLst>
                <a:ext uri="{909E8E84-426E-40DD-AFC4-6F175D3DCCD1}">
                  <a14:hiddenFill>
                    <a:solidFill>
                      <a:srgbClr val="FFFFFF"/>
                    </a:solidFill>
                  </a14:hiddenFill>
                </a:ext>
              </a:extLst>
            </xdr:spPr>
          </xdr:pic>
          <xdr:pic>
            <xdr:nvPicPr>
              <xdr:cNvPr id="109" name="Picture 108"/>
              <xdr:cNvPicPr>
                <a:picLocks noChangeAspect="1" noChangeArrowheads="1"/>
                <a:extLst>
                  <a:ext uri="{84589F7E-364E-4C9E-8A38-B11213B215E9}">
                    <a14:cameraTool cellRange="Flag10" spid="_x0000_s52115"/>
                  </a:ext>
                </a:extLst>
              </xdr:cNvPicPr>
            </xdr:nvPicPr>
            <xdr:blipFill>
              <a:blip xmlns:r="http://schemas.openxmlformats.org/officeDocument/2006/relationships" r:embed="rId34"/>
              <a:srcRect/>
              <a:stretch>
                <a:fillRect/>
              </a:stretch>
            </xdr:blipFill>
            <xdr:spPr bwMode="auto">
              <a:xfrm>
                <a:off x="10109201" y="3685824"/>
                <a:ext cx="304800" cy="190500"/>
              </a:xfrm>
              <a:prstGeom prst="rect">
                <a:avLst/>
              </a:prstGeom>
              <a:noFill/>
              <a:extLst>
                <a:ext uri="{909E8E84-426E-40DD-AFC4-6F175D3DCCD1}">
                  <a14:hiddenFill>
                    <a:solidFill>
                      <a:srgbClr val="FFFFFF"/>
                    </a:solidFill>
                  </a14:hiddenFill>
                </a:ext>
              </a:extLst>
            </xdr:spPr>
          </xdr:pic>
          <xdr:pic>
            <xdr:nvPicPr>
              <xdr:cNvPr id="110" name="Picture 109"/>
              <xdr:cNvPicPr>
                <a:picLocks noChangeAspect="1" noChangeArrowheads="1"/>
                <a:extLst>
                  <a:ext uri="{84589F7E-364E-4C9E-8A38-B11213B215E9}">
                    <a14:cameraTool cellRange="Flag11" spid="_x0000_s52116"/>
                  </a:ext>
                </a:extLst>
              </xdr:cNvPicPr>
            </xdr:nvPicPr>
            <xdr:blipFill>
              <a:blip xmlns:r="http://schemas.openxmlformats.org/officeDocument/2006/relationships" r:embed="rId35"/>
              <a:srcRect/>
              <a:stretch>
                <a:fillRect/>
              </a:stretch>
            </xdr:blipFill>
            <xdr:spPr bwMode="auto">
              <a:xfrm>
                <a:off x="10109201" y="3917248"/>
                <a:ext cx="304800" cy="190500"/>
              </a:xfrm>
              <a:prstGeom prst="rect">
                <a:avLst/>
              </a:prstGeom>
              <a:noFill/>
              <a:extLst>
                <a:ext uri="{909E8E84-426E-40DD-AFC4-6F175D3DCCD1}">
                  <a14:hiddenFill>
                    <a:solidFill>
                      <a:srgbClr val="FFFFFF"/>
                    </a:solidFill>
                  </a14:hiddenFill>
                </a:ext>
              </a:extLst>
            </xdr:spPr>
          </xdr:pic>
          <xdr:pic>
            <xdr:nvPicPr>
              <xdr:cNvPr id="111" name="Picture 110"/>
              <xdr:cNvPicPr>
                <a:picLocks noChangeAspect="1" noChangeArrowheads="1"/>
                <a:extLst>
                  <a:ext uri="{84589F7E-364E-4C9E-8A38-B11213B215E9}">
                    <a14:cameraTool cellRange="Flag12" spid="_x0000_s52117"/>
                  </a:ext>
                </a:extLst>
              </xdr:cNvPicPr>
            </xdr:nvPicPr>
            <xdr:blipFill>
              <a:blip xmlns:r="http://schemas.openxmlformats.org/officeDocument/2006/relationships" r:embed="rId36"/>
              <a:srcRect/>
              <a:stretch>
                <a:fillRect/>
              </a:stretch>
            </xdr:blipFill>
            <xdr:spPr bwMode="auto">
              <a:xfrm>
                <a:off x="10109201" y="4148672"/>
                <a:ext cx="304800" cy="190500"/>
              </a:xfrm>
              <a:prstGeom prst="rect">
                <a:avLst/>
              </a:prstGeom>
              <a:noFill/>
              <a:extLst>
                <a:ext uri="{909E8E84-426E-40DD-AFC4-6F175D3DCCD1}">
                  <a14:hiddenFill>
                    <a:solidFill>
                      <a:srgbClr val="FFFFFF"/>
                    </a:solidFill>
                  </a14:hiddenFill>
                </a:ext>
              </a:extLst>
            </xdr:spPr>
          </xdr:pic>
        </xdr:grpSp>
        <xdr:clientData/>
      </xdr:twoCellAnchor>
    </mc:Choice>
    <mc:Fallback/>
  </mc:AlternateContent>
  <mc:AlternateContent xmlns:mc="http://schemas.openxmlformats.org/markup-compatibility/2006">
    <mc:Choice xmlns:a14="http://schemas.microsoft.com/office/drawing/2010/main" Requires="a14">
      <xdr:twoCellAnchor>
        <xdr:from>
          <xdr:col>28</xdr:col>
          <xdr:colOff>8468</xdr:colOff>
          <xdr:row>26</xdr:row>
          <xdr:rowOff>8464</xdr:rowOff>
        </xdr:from>
        <xdr:to>
          <xdr:col>29</xdr:col>
          <xdr:colOff>61808</xdr:colOff>
          <xdr:row>29</xdr:row>
          <xdr:rowOff>207436</xdr:rowOff>
        </xdr:to>
        <xdr:grpSp>
          <xdr:nvGrpSpPr>
            <xdr:cNvPr id="112" name="Group 111"/>
            <xdr:cNvGrpSpPr/>
          </xdr:nvGrpSpPr>
          <xdr:grpSpPr>
            <a:xfrm>
              <a:off x="9586385" y="5818714"/>
              <a:ext cx="296756" cy="897472"/>
              <a:chOff x="10109201" y="3454400"/>
              <a:chExt cx="315806" cy="884772"/>
            </a:xfrm>
          </xdr:grpSpPr>
          <xdr:pic>
            <xdr:nvPicPr>
              <xdr:cNvPr id="113" name="Picture 112"/>
              <xdr:cNvPicPr>
                <a:picLocks noChangeAspect="1" noChangeArrowheads="1"/>
                <a:extLst>
                  <a:ext uri="{84589F7E-364E-4C9E-8A38-B11213B215E9}">
                    <a14:cameraTool cellRange="Flag13" spid="_x0000_s52118"/>
                  </a:ext>
                </a:extLst>
              </xdr:cNvPicPr>
            </xdr:nvPicPr>
            <xdr:blipFill>
              <a:blip xmlns:r="http://schemas.openxmlformats.org/officeDocument/2006/relationships" r:embed="rId37"/>
              <a:srcRect/>
              <a:stretch>
                <a:fillRect/>
              </a:stretch>
            </xdr:blipFill>
            <xdr:spPr bwMode="auto">
              <a:xfrm>
                <a:off x="10109201" y="3454400"/>
                <a:ext cx="315806" cy="198120"/>
              </a:xfrm>
              <a:prstGeom prst="rect">
                <a:avLst/>
              </a:prstGeom>
              <a:noFill/>
              <a:extLst>
                <a:ext uri="{909E8E84-426E-40DD-AFC4-6F175D3DCCD1}">
                  <a14:hiddenFill>
                    <a:solidFill>
                      <a:srgbClr val="FFFFFF"/>
                    </a:solidFill>
                  </a14:hiddenFill>
                </a:ext>
              </a:extLst>
            </xdr:spPr>
          </xdr:pic>
          <xdr:pic>
            <xdr:nvPicPr>
              <xdr:cNvPr id="114" name="Picture 113"/>
              <xdr:cNvPicPr>
                <a:picLocks noChangeAspect="1" noChangeArrowheads="1"/>
                <a:extLst>
                  <a:ext uri="{84589F7E-364E-4C9E-8A38-B11213B215E9}">
                    <a14:cameraTool cellRange="Flag14" spid="_x0000_s52119"/>
                  </a:ext>
                </a:extLst>
              </xdr:cNvPicPr>
            </xdr:nvPicPr>
            <xdr:blipFill>
              <a:blip xmlns:r="http://schemas.openxmlformats.org/officeDocument/2006/relationships" r:embed="rId38"/>
              <a:srcRect/>
              <a:stretch>
                <a:fillRect/>
              </a:stretch>
            </xdr:blipFill>
            <xdr:spPr bwMode="auto">
              <a:xfrm>
                <a:off x="10109201" y="3685824"/>
                <a:ext cx="304800" cy="190500"/>
              </a:xfrm>
              <a:prstGeom prst="rect">
                <a:avLst/>
              </a:prstGeom>
              <a:noFill/>
              <a:extLst>
                <a:ext uri="{909E8E84-426E-40DD-AFC4-6F175D3DCCD1}">
                  <a14:hiddenFill>
                    <a:solidFill>
                      <a:srgbClr val="FFFFFF"/>
                    </a:solidFill>
                  </a14:hiddenFill>
                </a:ext>
              </a:extLst>
            </xdr:spPr>
          </xdr:pic>
          <xdr:pic>
            <xdr:nvPicPr>
              <xdr:cNvPr id="115" name="Picture 114"/>
              <xdr:cNvPicPr>
                <a:picLocks noChangeAspect="1" noChangeArrowheads="1"/>
                <a:extLst>
                  <a:ext uri="{84589F7E-364E-4C9E-8A38-B11213B215E9}">
                    <a14:cameraTool cellRange="Flag15" spid="_x0000_s52120"/>
                  </a:ext>
                </a:extLst>
              </xdr:cNvPicPr>
            </xdr:nvPicPr>
            <xdr:blipFill>
              <a:blip xmlns:r="http://schemas.openxmlformats.org/officeDocument/2006/relationships" r:embed="rId39"/>
              <a:srcRect/>
              <a:stretch>
                <a:fillRect/>
              </a:stretch>
            </xdr:blipFill>
            <xdr:spPr bwMode="auto">
              <a:xfrm>
                <a:off x="10109201" y="3917248"/>
                <a:ext cx="304800" cy="190500"/>
              </a:xfrm>
              <a:prstGeom prst="rect">
                <a:avLst/>
              </a:prstGeom>
              <a:noFill/>
              <a:extLst>
                <a:ext uri="{909E8E84-426E-40DD-AFC4-6F175D3DCCD1}">
                  <a14:hiddenFill>
                    <a:solidFill>
                      <a:srgbClr val="FFFFFF"/>
                    </a:solidFill>
                  </a14:hiddenFill>
                </a:ext>
              </a:extLst>
            </xdr:spPr>
          </xdr:pic>
          <xdr:pic>
            <xdr:nvPicPr>
              <xdr:cNvPr id="116" name="Picture 115"/>
              <xdr:cNvPicPr>
                <a:picLocks noChangeAspect="1" noChangeArrowheads="1"/>
                <a:extLst>
                  <a:ext uri="{84589F7E-364E-4C9E-8A38-B11213B215E9}">
                    <a14:cameraTool cellRange="Flag16" spid="_x0000_s52121"/>
                  </a:ext>
                </a:extLst>
              </xdr:cNvPicPr>
            </xdr:nvPicPr>
            <xdr:blipFill>
              <a:blip xmlns:r="http://schemas.openxmlformats.org/officeDocument/2006/relationships" r:embed="rId40"/>
              <a:srcRect/>
              <a:stretch>
                <a:fillRect/>
              </a:stretch>
            </xdr:blipFill>
            <xdr:spPr bwMode="auto">
              <a:xfrm>
                <a:off x="10109201" y="4148672"/>
                <a:ext cx="304800" cy="190500"/>
              </a:xfrm>
              <a:prstGeom prst="rect">
                <a:avLst/>
              </a:prstGeom>
              <a:noFill/>
              <a:extLst>
                <a:ext uri="{909E8E84-426E-40DD-AFC4-6F175D3DCCD1}">
                  <a14:hiddenFill>
                    <a:solidFill>
                      <a:srgbClr val="FFFFFF"/>
                    </a:solidFill>
                  </a14:hiddenFill>
                </a:ext>
              </a:extLst>
            </xdr:spPr>
          </xdr:pic>
        </xdr:grpSp>
        <xdr:clientData/>
      </xdr:twoCellAnchor>
    </mc:Choice>
    <mc:Fallback/>
  </mc:AlternateContent>
  <mc:AlternateContent xmlns:mc="http://schemas.openxmlformats.org/markup-compatibility/2006">
    <mc:Choice xmlns:a14="http://schemas.microsoft.com/office/drawing/2010/main" Requires="a14">
      <xdr:twoCellAnchor>
        <xdr:from>
          <xdr:col>28</xdr:col>
          <xdr:colOff>8468</xdr:colOff>
          <xdr:row>31</xdr:row>
          <xdr:rowOff>8463</xdr:rowOff>
        </xdr:from>
        <xdr:to>
          <xdr:col>29</xdr:col>
          <xdr:colOff>61808</xdr:colOff>
          <xdr:row>34</xdr:row>
          <xdr:rowOff>207435</xdr:rowOff>
        </xdr:to>
        <xdr:grpSp>
          <xdr:nvGrpSpPr>
            <xdr:cNvPr id="117" name="Group 116"/>
            <xdr:cNvGrpSpPr/>
          </xdr:nvGrpSpPr>
          <xdr:grpSpPr>
            <a:xfrm>
              <a:off x="9586385" y="6982880"/>
              <a:ext cx="296756" cy="897472"/>
              <a:chOff x="10109201" y="3454400"/>
              <a:chExt cx="315806" cy="884772"/>
            </a:xfrm>
          </xdr:grpSpPr>
          <xdr:pic>
            <xdr:nvPicPr>
              <xdr:cNvPr id="118" name="Picture 117"/>
              <xdr:cNvPicPr>
                <a:picLocks noChangeAspect="1" noChangeArrowheads="1"/>
                <a:extLst>
                  <a:ext uri="{84589F7E-364E-4C9E-8A38-B11213B215E9}">
                    <a14:cameraTool cellRange="Flag17" spid="_x0000_s52122"/>
                  </a:ext>
                </a:extLst>
              </xdr:cNvPicPr>
            </xdr:nvPicPr>
            <xdr:blipFill>
              <a:blip xmlns:r="http://schemas.openxmlformats.org/officeDocument/2006/relationships" r:embed="rId41"/>
              <a:srcRect/>
              <a:stretch>
                <a:fillRect/>
              </a:stretch>
            </xdr:blipFill>
            <xdr:spPr bwMode="auto">
              <a:xfrm>
                <a:off x="10109201" y="3454400"/>
                <a:ext cx="315806" cy="198120"/>
              </a:xfrm>
              <a:prstGeom prst="rect">
                <a:avLst/>
              </a:prstGeom>
              <a:noFill/>
              <a:extLst>
                <a:ext uri="{909E8E84-426E-40DD-AFC4-6F175D3DCCD1}">
                  <a14:hiddenFill>
                    <a:solidFill>
                      <a:srgbClr val="FFFFFF"/>
                    </a:solidFill>
                  </a14:hiddenFill>
                </a:ext>
              </a:extLst>
            </xdr:spPr>
          </xdr:pic>
          <xdr:pic>
            <xdr:nvPicPr>
              <xdr:cNvPr id="119" name="Picture 118"/>
              <xdr:cNvPicPr>
                <a:picLocks noChangeAspect="1" noChangeArrowheads="1"/>
                <a:extLst>
                  <a:ext uri="{84589F7E-364E-4C9E-8A38-B11213B215E9}">
                    <a14:cameraTool cellRange="Flag18" spid="_x0000_s52123"/>
                  </a:ext>
                </a:extLst>
              </xdr:cNvPicPr>
            </xdr:nvPicPr>
            <xdr:blipFill>
              <a:blip xmlns:r="http://schemas.openxmlformats.org/officeDocument/2006/relationships" r:embed="rId42"/>
              <a:srcRect/>
              <a:stretch>
                <a:fillRect/>
              </a:stretch>
            </xdr:blipFill>
            <xdr:spPr bwMode="auto">
              <a:xfrm>
                <a:off x="10109201" y="3685824"/>
                <a:ext cx="304800" cy="190500"/>
              </a:xfrm>
              <a:prstGeom prst="rect">
                <a:avLst/>
              </a:prstGeom>
              <a:noFill/>
              <a:extLst>
                <a:ext uri="{909E8E84-426E-40DD-AFC4-6F175D3DCCD1}">
                  <a14:hiddenFill>
                    <a:solidFill>
                      <a:srgbClr val="FFFFFF"/>
                    </a:solidFill>
                  </a14:hiddenFill>
                </a:ext>
              </a:extLst>
            </xdr:spPr>
          </xdr:pic>
          <xdr:pic>
            <xdr:nvPicPr>
              <xdr:cNvPr id="120" name="Picture 119"/>
              <xdr:cNvPicPr>
                <a:picLocks noChangeAspect="1" noChangeArrowheads="1"/>
                <a:extLst>
                  <a:ext uri="{84589F7E-364E-4C9E-8A38-B11213B215E9}">
                    <a14:cameraTool cellRange="Flag19" spid="_x0000_s52124"/>
                  </a:ext>
                </a:extLst>
              </xdr:cNvPicPr>
            </xdr:nvPicPr>
            <xdr:blipFill>
              <a:blip xmlns:r="http://schemas.openxmlformats.org/officeDocument/2006/relationships" r:embed="rId43"/>
              <a:srcRect/>
              <a:stretch>
                <a:fillRect/>
              </a:stretch>
            </xdr:blipFill>
            <xdr:spPr bwMode="auto">
              <a:xfrm>
                <a:off x="10109201" y="3917248"/>
                <a:ext cx="304800" cy="190500"/>
              </a:xfrm>
              <a:prstGeom prst="rect">
                <a:avLst/>
              </a:prstGeom>
              <a:noFill/>
              <a:extLst>
                <a:ext uri="{909E8E84-426E-40DD-AFC4-6F175D3DCCD1}">
                  <a14:hiddenFill>
                    <a:solidFill>
                      <a:srgbClr val="FFFFFF"/>
                    </a:solidFill>
                  </a14:hiddenFill>
                </a:ext>
              </a:extLst>
            </xdr:spPr>
          </xdr:pic>
          <xdr:pic>
            <xdr:nvPicPr>
              <xdr:cNvPr id="121" name="Picture 120"/>
              <xdr:cNvPicPr>
                <a:picLocks noChangeAspect="1" noChangeArrowheads="1"/>
                <a:extLst>
                  <a:ext uri="{84589F7E-364E-4C9E-8A38-B11213B215E9}">
                    <a14:cameraTool cellRange="Flag20" spid="_x0000_s52125"/>
                  </a:ext>
                </a:extLst>
              </xdr:cNvPicPr>
            </xdr:nvPicPr>
            <xdr:blipFill>
              <a:blip xmlns:r="http://schemas.openxmlformats.org/officeDocument/2006/relationships" r:embed="rId44"/>
              <a:srcRect/>
              <a:stretch>
                <a:fillRect/>
              </a:stretch>
            </xdr:blipFill>
            <xdr:spPr bwMode="auto">
              <a:xfrm>
                <a:off x="10109201" y="4148672"/>
                <a:ext cx="304800" cy="190500"/>
              </a:xfrm>
              <a:prstGeom prst="rect">
                <a:avLst/>
              </a:prstGeom>
              <a:noFill/>
              <a:extLst>
                <a:ext uri="{909E8E84-426E-40DD-AFC4-6F175D3DCCD1}">
                  <a14:hiddenFill>
                    <a:solidFill>
                      <a:srgbClr val="FFFFFF"/>
                    </a:solidFill>
                  </a14:hiddenFill>
                </a:ext>
              </a:extLst>
            </xdr:spPr>
          </xdr:pic>
        </xdr:grpSp>
        <xdr:clientData/>
      </xdr:twoCellAnchor>
    </mc:Choice>
    <mc:Fallback/>
  </mc:AlternateContent>
  <mc:AlternateContent xmlns:mc="http://schemas.openxmlformats.org/markup-compatibility/2006">
    <mc:Choice xmlns:a14="http://schemas.microsoft.com/office/drawing/2010/main" Requires="a14">
      <xdr:twoCellAnchor>
        <xdr:from>
          <xdr:col>28</xdr:col>
          <xdr:colOff>8468</xdr:colOff>
          <xdr:row>36</xdr:row>
          <xdr:rowOff>16929</xdr:rowOff>
        </xdr:from>
        <xdr:to>
          <xdr:col>29</xdr:col>
          <xdr:colOff>61808</xdr:colOff>
          <xdr:row>39</xdr:row>
          <xdr:rowOff>215901</xdr:rowOff>
        </xdr:to>
        <xdr:grpSp>
          <xdr:nvGrpSpPr>
            <xdr:cNvPr id="122" name="Group 121"/>
            <xdr:cNvGrpSpPr/>
          </xdr:nvGrpSpPr>
          <xdr:grpSpPr>
            <a:xfrm>
              <a:off x="9586385" y="8155512"/>
              <a:ext cx="296756" cy="897472"/>
              <a:chOff x="10109201" y="3454400"/>
              <a:chExt cx="315806" cy="884772"/>
            </a:xfrm>
          </xdr:grpSpPr>
          <xdr:pic>
            <xdr:nvPicPr>
              <xdr:cNvPr id="123" name="Picture 122"/>
              <xdr:cNvPicPr>
                <a:picLocks noChangeAspect="1" noChangeArrowheads="1"/>
                <a:extLst>
                  <a:ext uri="{84589F7E-364E-4C9E-8A38-B11213B215E9}">
                    <a14:cameraTool cellRange="Flag21" spid="_x0000_s52126"/>
                  </a:ext>
                </a:extLst>
              </xdr:cNvPicPr>
            </xdr:nvPicPr>
            <xdr:blipFill>
              <a:blip xmlns:r="http://schemas.openxmlformats.org/officeDocument/2006/relationships" r:embed="rId45"/>
              <a:srcRect/>
              <a:stretch>
                <a:fillRect/>
              </a:stretch>
            </xdr:blipFill>
            <xdr:spPr bwMode="auto">
              <a:xfrm>
                <a:off x="10109201" y="3454400"/>
                <a:ext cx="315806" cy="198120"/>
              </a:xfrm>
              <a:prstGeom prst="rect">
                <a:avLst/>
              </a:prstGeom>
              <a:noFill/>
              <a:extLst>
                <a:ext uri="{909E8E84-426E-40DD-AFC4-6F175D3DCCD1}">
                  <a14:hiddenFill>
                    <a:solidFill>
                      <a:srgbClr val="FFFFFF"/>
                    </a:solidFill>
                  </a14:hiddenFill>
                </a:ext>
              </a:extLst>
            </xdr:spPr>
          </xdr:pic>
          <xdr:pic>
            <xdr:nvPicPr>
              <xdr:cNvPr id="124" name="Picture 123"/>
              <xdr:cNvPicPr>
                <a:picLocks noChangeAspect="1" noChangeArrowheads="1"/>
                <a:extLst>
                  <a:ext uri="{84589F7E-364E-4C9E-8A38-B11213B215E9}">
                    <a14:cameraTool cellRange="Flag22" spid="_x0000_s52127"/>
                  </a:ext>
                </a:extLst>
              </xdr:cNvPicPr>
            </xdr:nvPicPr>
            <xdr:blipFill>
              <a:blip xmlns:r="http://schemas.openxmlformats.org/officeDocument/2006/relationships" r:embed="rId46"/>
              <a:srcRect/>
              <a:stretch>
                <a:fillRect/>
              </a:stretch>
            </xdr:blipFill>
            <xdr:spPr bwMode="auto">
              <a:xfrm>
                <a:off x="10109201" y="3685824"/>
                <a:ext cx="304800" cy="190500"/>
              </a:xfrm>
              <a:prstGeom prst="rect">
                <a:avLst/>
              </a:prstGeom>
              <a:noFill/>
              <a:extLst>
                <a:ext uri="{909E8E84-426E-40DD-AFC4-6F175D3DCCD1}">
                  <a14:hiddenFill>
                    <a:solidFill>
                      <a:srgbClr val="FFFFFF"/>
                    </a:solidFill>
                  </a14:hiddenFill>
                </a:ext>
              </a:extLst>
            </xdr:spPr>
          </xdr:pic>
          <xdr:pic>
            <xdr:nvPicPr>
              <xdr:cNvPr id="125" name="Picture 124"/>
              <xdr:cNvPicPr>
                <a:picLocks noChangeAspect="1" noChangeArrowheads="1"/>
                <a:extLst>
                  <a:ext uri="{84589F7E-364E-4C9E-8A38-B11213B215E9}">
                    <a14:cameraTool cellRange="Flag23" spid="_x0000_s52128"/>
                  </a:ext>
                </a:extLst>
              </xdr:cNvPicPr>
            </xdr:nvPicPr>
            <xdr:blipFill>
              <a:blip xmlns:r="http://schemas.openxmlformats.org/officeDocument/2006/relationships" r:embed="rId47"/>
              <a:srcRect/>
              <a:stretch>
                <a:fillRect/>
              </a:stretch>
            </xdr:blipFill>
            <xdr:spPr bwMode="auto">
              <a:xfrm>
                <a:off x="10109201" y="3917248"/>
                <a:ext cx="304800" cy="190500"/>
              </a:xfrm>
              <a:prstGeom prst="rect">
                <a:avLst/>
              </a:prstGeom>
              <a:noFill/>
              <a:extLst>
                <a:ext uri="{909E8E84-426E-40DD-AFC4-6F175D3DCCD1}">
                  <a14:hiddenFill>
                    <a:solidFill>
                      <a:srgbClr val="FFFFFF"/>
                    </a:solidFill>
                  </a14:hiddenFill>
                </a:ext>
              </a:extLst>
            </xdr:spPr>
          </xdr:pic>
          <xdr:pic>
            <xdr:nvPicPr>
              <xdr:cNvPr id="126" name="Picture 125"/>
              <xdr:cNvPicPr>
                <a:picLocks noChangeAspect="1" noChangeArrowheads="1"/>
                <a:extLst>
                  <a:ext uri="{84589F7E-364E-4C9E-8A38-B11213B215E9}">
                    <a14:cameraTool cellRange="Flag24" spid="_x0000_s52129"/>
                  </a:ext>
                </a:extLst>
              </xdr:cNvPicPr>
            </xdr:nvPicPr>
            <xdr:blipFill>
              <a:blip xmlns:r="http://schemas.openxmlformats.org/officeDocument/2006/relationships" r:embed="rId48"/>
              <a:srcRect/>
              <a:stretch>
                <a:fillRect/>
              </a:stretch>
            </xdr:blipFill>
            <xdr:spPr bwMode="auto">
              <a:xfrm>
                <a:off x="10109201" y="4148672"/>
                <a:ext cx="304800" cy="190500"/>
              </a:xfrm>
              <a:prstGeom prst="rect">
                <a:avLst/>
              </a:prstGeom>
              <a:noFill/>
              <a:extLst>
                <a:ext uri="{909E8E84-426E-40DD-AFC4-6F175D3DCCD1}">
                  <a14:hiddenFill>
                    <a:solidFill>
                      <a:srgbClr val="FFFFFF"/>
                    </a:solidFill>
                  </a14:hiddenFill>
                </a:ext>
              </a:extLst>
            </xdr:spPr>
          </xdr:pic>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448728</xdr:colOff>
          <xdr:row>53</xdr:row>
          <xdr:rowOff>16934</xdr:rowOff>
        </xdr:from>
        <xdr:to>
          <xdr:col>7</xdr:col>
          <xdr:colOff>295482</xdr:colOff>
          <xdr:row>54</xdr:row>
          <xdr:rowOff>223519</xdr:rowOff>
        </xdr:to>
        <xdr:grpSp>
          <xdr:nvGrpSpPr>
            <xdr:cNvPr id="129" name="Group 128"/>
            <xdr:cNvGrpSpPr/>
          </xdr:nvGrpSpPr>
          <xdr:grpSpPr>
            <a:xfrm>
              <a:off x="2057395" y="12113684"/>
              <a:ext cx="291254" cy="439418"/>
              <a:chOff x="2133599" y="11904134"/>
              <a:chExt cx="312420" cy="435185"/>
            </a:xfrm>
          </xdr:grpSpPr>
          <xdr:pic>
            <xdr:nvPicPr>
              <xdr:cNvPr id="127" name="Picture 126"/>
              <xdr:cNvPicPr>
                <a:picLocks noChangeAspect="1" noChangeArrowheads="1"/>
                <a:extLst>
                  <a:ext uri="{84589F7E-364E-4C9E-8A38-B11213B215E9}">
                    <a14:cameraTool cellRange="Flag25" spid="_x0000_s52130"/>
                  </a:ext>
                </a:extLst>
              </xdr:cNvPicPr>
            </xdr:nvPicPr>
            <xdr:blipFill>
              <a:blip xmlns:r="http://schemas.openxmlformats.org/officeDocument/2006/relationships" r:embed="rId26"/>
              <a:srcRect/>
              <a:stretch>
                <a:fillRect/>
              </a:stretch>
            </xdr:blipFill>
            <xdr:spPr bwMode="auto">
              <a:xfrm>
                <a:off x="2133599" y="11904134"/>
                <a:ext cx="312420" cy="198120"/>
              </a:xfrm>
              <a:prstGeom prst="rect">
                <a:avLst/>
              </a:prstGeom>
              <a:noFill/>
              <a:extLst>
                <a:ext uri="{909E8E84-426E-40DD-AFC4-6F175D3DCCD1}">
                  <a14:hiddenFill>
                    <a:solidFill>
                      <a:srgbClr val="FFFFFF"/>
                    </a:solidFill>
                  </a14:hiddenFill>
                </a:ext>
              </a:extLst>
            </xdr:spPr>
          </xdr:pic>
          <xdr:pic>
            <xdr:nvPicPr>
              <xdr:cNvPr id="128" name="Picture 127"/>
              <xdr:cNvPicPr>
                <a:picLocks noChangeAspect="1" noChangeArrowheads="1"/>
                <a:extLst>
                  <a:ext uri="{84589F7E-364E-4C9E-8A38-B11213B215E9}">
                    <a14:cameraTool cellRange="Flag26" spid="_x0000_s52131"/>
                  </a:ext>
                </a:extLst>
              </xdr:cNvPicPr>
            </xdr:nvPicPr>
            <xdr:blipFill>
              <a:blip xmlns:r="http://schemas.openxmlformats.org/officeDocument/2006/relationships" r:embed="rId34"/>
              <a:srcRect/>
              <a:stretch>
                <a:fillRect/>
              </a:stretch>
            </xdr:blipFill>
            <xdr:spPr bwMode="auto">
              <a:xfrm>
                <a:off x="2133599" y="12141199"/>
                <a:ext cx="312420" cy="198120"/>
              </a:xfrm>
              <a:prstGeom prst="rect">
                <a:avLst/>
              </a:prstGeom>
              <a:noFill/>
              <a:extLst>
                <a:ext uri="{909E8E84-426E-40DD-AFC4-6F175D3DCCD1}">
                  <a14:hiddenFill>
                    <a:solidFill>
                      <a:srgbClr val="FFFFFF"/>
                    </a:solidFill>
                  </a14:hiddenFill>
                </a:ext>
              </a:extLst>
            </xdr:spPr>
          </xdr:pic>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448728</xdr:colOff>
          <xdr:row>65</xdr:row>
          <xdr:rowOff>25401</xdr:rowOff>
        </xdr:from>
        <xdr:to>
          <xdr:col>7</xdr:col>
          <xdr:colOff>295482</xdr:colOff>
          <xdr:row>67</xdr:row>
          <xdr:rowOff>3386</xdr:rowOff>
        </xdr:to>
        <xdr:grpSp>
          <xdr:nvGrpSpPr>
            <xdr:cNvPr id="130" name="Group 129"/>
            <xdr:cNvGrpSpPr/>
          </xdr:nvGrpSpPr>
          <xdr:grpSpPr>
            <a:xfrm>
              <a:off x="2057395" y="14916151"/>
              <a:ext cx="291254" cy="443652"/>
              <a:chOff x="2133599" y="11904134"/>
              <a:chExt cx="312420" cy="435185"/>
            </a:xfrm>
          </xdr:grpSpPr>
          <xdr:pic>
            <xdr:nvPicPr>
              <xdr:cNvPr id="131" name="Picture 130"/>
              <xdr:cNvPicPr>
                <a:picLocks noChangeAspect="1" noChangeArrowheads="1"/>
                <a:extLst>
                  <a:ext uri="{84589F7E-364E-4C9E-8A38-B11213B215E9}">
                    <a14:cameraTool cellRange="Flag27" spid="_x0000_s52132"/>
                  </a:ext>
                </a:extLst>
              </xdr:cNvPicPr>
            </xdr:nvPicPr>
            <xdr:blipFill>
              <a:blip xmlns:r="http://schemas.openxmlformats.org/officeDocument/2006/relationships" r:embed="rId29"/>
              <a:srcRect/>
              <a:stretch>
                <a:fillRect/>
              </a:stretch>
            </xdr:blipFill>
            <xdr:spPr bwMode="auto">
              <a:xfrm>
                <a:off x="2133599" y="11904134"/>
                <a:ext cx="312420" cy="198120"/>
              </a:xfrm>
              <a:prstGeom prst="rect">
                <a:avLst/>
              </a:prstGeom>
              <a:noFill/>
              <a:extLst>
                <a:ext uri="{909E8E84-426E-40DD-AFC4-6F175D3DCCD1}">
                  <a14:hiddenFill>
                    <a:solidFill>
                      <a:srgbClr val="FFFFFF"/>
                    </a:solidFill>
                  </a14:hiddenFill>
                </a:ext>
              </a:extLst>
            </xdr:spPr>
          </xdr:pic>
          <xdr:pic>
            <xdr:nvPicPr>
              <xdr:cNvPr id="132" name="Picture 131"/>
              <xdr:cNvPicPr>
                <a:picLocks noChangeAspect="1" noChangeArrowheads="1"/>
                <a:extLst>
                  <a:ext uri="{84589F7E-364E-4C9E-8A38-B11213B215E9}">
                    <a14:cameraTool cellRange="Flag28" spid="_x0000_s52133"/>
                  </a:ext>
                </a:extLst>
              </xdr:cNvPicPr>
            </xdr:nvPicPr>
            <xdr:blipFill>
              <a:blip xmlns:r="http://schemas.openxmlformats.org/officeDocument/2006/relationships" r:embed="rId35"/>
              <a:srcRect/>
              <a:stretch>
                <a:fillRect/>
              </a:stretch>
            </xdr:blipFill>
            <xdr:spPr bwMode="auto">
              <a:xfrm>
                <a:off x="2133599" y="12141199"/>
                <a:ext cx="312420" cy="198120"/>
              </a:xfrm>
              <a:prstGeom prst="rect">
                <a:avLst/>
              </a:prstGeom>
              <a:noFill/>
              <a:extLst>
                <a:ext uri="{909E8E84-426E-40DD-AFC4-6F175D3DCCD1}">
                  <a14:hiddenFill>
                    <a:solidFill>
                      <a:srgbClr val="FFFFFF"/>
                    </a:solidFill>
                  </a14:hiddenFill>
                </a:ext>
              </a:extLst>
            </xdr:spPr>
          </xdr:pic>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448728</xdr:colOff>
          <xdr:row>59</xdr:row>
          <xdr:rowOff>25402</xdr:rowOff>
        </xdr:from>
        <xdr:to>
          <xdr:col>7</xdr:col>
          <xdr:colOff>295482</xdr:colOff>
          <xdr:row>61</xdr:row>
          <xdr:rowOff>3387</xdr:rowOff>
        </xdr:to>
        <xdr:grpSp>
          <xdr:nvGrpSpPr>
            <xdr:cNvPr id="133" name="Group 132"/>
            <xdr:cNvGrpSpPr/>
          </xdr:nvGrpSpPr>
          <xdr:grpSpPr>
            <a:xfrm>
              <a:off x="2057395" y="13519152"/>
              <a:ext cx="291254" cy="443652"/>
              <a:chOff x="2133599" y="11904134"/>
              <a:chExt cx="312420" cy="435185"/>
            </a:xfrm>
          </xdr:grpSpPr>
          <xdr:pic>
            <xdr:nvPicPr>
              <xdr:cNvPr id="134" name="Picture 133"/>
              <xdr:cNvPicPr>
                <a:picLocks noChangeAspect="1" noChangeArrowheads="1"/>
                <a:extLst>
                  <a:ext uri="{84589F7E-364E-4C9E-8A38-B11213B215E9}">
                    <a14:cameraTool cellRange="Flag29" spid="_x0000_s52134"/>
                  </a:ext>
                </a:extLst>
              </xdr:cNvPicPr>
            </xdr:nvPicPr>
            <xdr:blipFill>
              <a:blip xmlns:r="http://schemas.openxmlformats.org/officeDocument/2006/relationships" r:embed="rId37"/>
              <a:srcRect/>
              <a:stretch>
                <a:fillRect/>
              </a:stretch>
            </xdr:blipFill>
            <xdr:spPr bwMode="auto">
              <a:xfrm>
                <a:off x="2133599" y="11904134"/>
                <a:ext cx="312420" cy="198120"/>
              </a:xfrm>
              <a:prstGeom prst="rect">
                <a:avLst/>
              </a:prstGeom>
              <a:noFill/>
              <a:extLst>
                <a:ext uri="{909E8E84-426E-40DD-AFC4-6F175D3DCCD1}">
                  <a14:hiddenFill>
                    <a:solidFill>
                      <a:srgbClr val="FFFFFF"/>
                    </a:solidFill>
                  </a14:hiddenFill>
                </a:ext>
              </a:extLst>
            </xdr:spPr>
          </xdr:pic>
          <xdr:pic>
            <xdr:nvPicPr>
              <xdr:cNvPr id="135" name="Picture 134"/>
              <xdr:cNvPicPr>
                <a:picLocks noChangeAspect="1" noChangeArrowheads="1"/>
                <a:extLst>
                  <a:ext uri="{84589F7E-364E-4C9E-8A38-B11213B215E9}">
                    <a14:cameraTool cellRange="Flag30" spid="_x0000_s52135"/>
                  </a:ext>
                </a:extLst>
              </xdr:cNvPicPr>
            </xdr:nvPicPr>
            <xdr:blipFill>
              <a:blip xmlns:r="http://schemas.openxmlformats.org/officeDocument/2006/relationships" r:embed="rId47"/>
              <a:srcRect/>
              <a:stretch>
                <a:fillRect/>
              </a:stretch>
            </xdr:blipFill>
            <xdr:spPr bwMode="auto">
              <a:xfrm>
                <a:off x="2133599" y="12141199"/>
                <a:ext cx="312420" cy="198120"/>
              </a:xfrm>
              <a:prstGeom prst="rect">
                <a:avLst/>
              </a:prstGeom>
              <a:noFill/>
              <a:extLst>
                <a:ext uri="{909E8E84-426E-40DD-AFC4-6F175D3DCCD1}">
                  <a14:hiddenFill>
                    <a:solidFill>
                      <a:srgbClr val="FFFFFF"/>
                    </a:solidFill>
                  </a14:hiddenFill>
                </a:ext>
              </a:extLst>
            </xdr:spPr>
          </xdr:pic>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448728</xdr:colOff>
          <xdr:row>89</xdr:row>
          <xdr:rowOff>25402</xdr:rowOff>
        </xdr:from>
        <xdr:to>
          <xdr:col>7</xdr:col>
          <xdr:colOff>295482</xdr:colOff>
          <xdr:row>91</xdr:row>
          <xdr:rowOff>3387</xdr:rowOff>
        </xdr:to>
        <xdr:grpSp>
          <xdr:nvGrpSpPr>
            <xdr:cNvPr id="136" name="Group 135"/>
            <xdr:cNvGrpSpPr/>
          </xdr:nvGrpSpPr>
          <xdr:grpSpPr>
            <a:xfrm>
              <a:off x="2057395" y="20504152"/>
              <a:ext cx="291254" cy="443652"/>
              <a:chOff x="2133599" y="11904134"/>
              <a:chExt cx="312420" cy="435185"/>
            </a:xfrm>
          </xdr:grpSpPr>
          <xdr:pic>
            <xdr:nvPicPr>
              <xdr:cNvPr id="137" name="Picture 136"/>
              <xdr:cNvPicPr>
                <a:picLocks noChangeAspect="1" noChangeArrowheads="1"/>
                <a:extLst>
                  <a:ext uri="{84589F7E-364E-4C9E-8A38-B11213B215E9}">
                    <a14:cameraTool cellRange="Flag31" spid="_x0000_s52136"/>
                  </a:ext>
                </a:extLst>
              </xdr:cNvPicPr>
            </xdr:nvPicPr>
            <xdr:blipFill>
              <a:blip xmlns:r="http://schemas.openxmlformats.org/officeDocument/2006/relationships" r:embed="rId25"/>
              <a:srcRect/>
              <a:stretch>
                <a:fillRect/>
              </a:stretch>
            </xdr:blipFill>
            <xdr:spPr bwMode="auto">
              <a:xfrm>
                <a:off x="2133599" y="11904134"/>
                <a:ext cx="312420" cy="198120"/>
              </a:xfrm>
              <a:prstGeom prst="rect">
                <a:avLst/>
              </a:prstGeom>
              <a:noFill/>
              <a:extLst>
                <a:ext uri="{909E8E84-426E-40DD-AFC4-6F175D3DCCD1}">
                  <a14:hiddenFill>
                    <a:solidFill>
                      <a:srgbClr val="FFFFFF"/>
                    </a:solidFill>
                  </a14:hiddenFill>
                </a:ext>
              </a:extLst>
            </xdr:spPr>
          </xdr:pic>
          <xdr:pic>
            <xdr:nvPicPr>
              <xdr:cNvPr id="138" name="Picture 137"/>
              <xdr:cNvPicPr>
                <a:picLocks noChangeAspect="1" noChangeArrowheads="1"/>
                <a:extLst>
                  <a:ext uri="{84589F7E-364E-4C9E-8A38-B11213B215E9}">
                    <a14:cameraTool cellRange="Flag32" spid="_x0000_s52137"/>
                  </a:ext>
                </a:extLst>
              </xdr:cNvPicPr>
            </xdr:nvPicPr>
            <xdr:blipFill>
              <a:blip xmlns:r="http://schemas.openxmlformats.org/officeDocument/2006/relationships" r:embed="rId43"/>
              <a:srcRect/>
              <a:stretch>
                <a:fillRect/>
              </a:stretch>
            </xdr:blipFill>
            <xdr:spPr bwMode="auto">
              <a:xfrm>
                <a:off x="2133599" y="12141199"/>
                <a:ext cx="312420" cy="198120"/>
              </a:xfrm>
              <a:prstGeom prst="rect">
                <a:avLst/>
              </a:prstGeom>
              <a:noFill/>
              <a:extLst>
                <a:ext uri="{909E8E84-426E-40DD-AFC4-6F175D3DCCD1}">
                  <a14:hiddenFill>
                    <a:solidFill>
                      <a:srgbClr val="FFFFFF"/>
                    </a:solidFill>
                  </a14:hiddenFill>
                </a:ext>
              </a:extLst>
            </xdr:spPr>
          </xdr:pic>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448728</xdr:colOff>
          <xdr:row>77</xdr:row>
          <xdr:rowOff>16935</xdr:rowOff>
        </xdr:from>
        <xdr:to>
          <xdr:col>7</xdr:col>
          <xdr:colOff>295482</xdr:colOff>
          <xdr:row>78</xdr:row>
          <xdr:rowOff>223520</xdr:rowOff>
        </xdr:to>
        <xdr:grpSp>
          <xdr:nvGrpSpPr>
            <xdr:cNvPr id="139" name="Group 138"/>
            <xdr:cNvGrpSpPr/>
          </xdr:nvGrpSpPr>
          <xdr:grpSpPr>
            <a:xfrm>
              <a:off x="2057395" y="17701685"/>
              <a:ext cx="291254" cy="439418"/>
              <a:chOff x="2133599" y="11904134"/>
              <a:chExt cx="312420" cy="435185"/>
            </a:xfrm>
          </xdr:grpSpPr>
          <xdr:pic>
            <xdr:nvPicPr>
              <xdr:cNvPr id="140" name="Picture 139"/>
              <xdr:cNvPicPr>
                <a:picLocks noChangeAspect="1" noChangeArrowheads="1"/>
                <a:extLst>
                  <a:ext uri="{84589F7E-364E-4C9E-8A38-B11213B215E9}">
                    <a14:cameraTool cellRange="Flag33" spid="_x0000_s52138"/>
                  </a:ext>
                </a:extLst>
              </xdr:cNvPicPr>
            </xdr:nvPicPr>
            <xdr:blipFill>
              <a:blip xmlns:r="http://schemas.openxmlformats.org/officeDocument/2006/relationships" r:embed="rId33"/>
              <a:srcRect/>
              <a:stretch>
                <a:fillRect/>
              </a:stretch>
            </xdr:blipFill>
            <xdr:spPr bwMode="auto">
              <a:xfrm>
                <a:off x="2133599" y="11904134"/>
                <a:ext cx="312420" cy="198120"/>
              </a:xfrm>
              <a:prstGeom prst="rect">
                <a:avLst/>
              </a:prstGeom>
              <a:noFill/>
              <a:extLst>
                <a:ext uri="{909E8E84-426E-40DD-AFC4-6F175D3DCCD1}">
                  <a14:hiddenFill>
                    <a:solidFill>
                      <a:srgbClr val="FFFFFF"/>
                    </a:solidFill>
                  </a14:hiddenFill>
                </a:ext>
              </a:extLst>
            </xdr:spPr>
          </xdr:pic>
          <xdr:pic>
            <xdr:nvPicPr>
              <xdr:cNvPr id="141" name="Picture 140"/>
              <xdr:cNvPicPr>
                <a:picLocks noChangeAspect="1" noChangeArrowheads="1"/>
                <a:extLst>
                  <a:ext uri="{84589F7E-364E-4C9E-8A38-B11213B215E9}">
                    <a14:cameraTool cellRange="Flag34" spid="_x0000_s52139"/>
                  </a:ext>
                </a:extLst>
              </xdr:cNvPicPr>
            </xdr:nvPicPr>
            <xdr:blipFill>
              <a:blip xmlns:r="http://schemas.openxmlformats.org/officeDocument/2006/relationships" r:embed="rId31"/>
              <a:srcRect/>
              <a:stretch>
                <a:fillRect/>
              </a:stretch>
            </xdr:blipFill>
            <xdr:spPr bwMode="auto">
              <a:xfrm>
                <a:off x="2133599" y="12141199"/>
                <a:ext cx="312420" cy="198120"/>
              </a:xfrm>
              <a:prstGeom prst="rect">
                <a:avLst/>
              </a:prstGeom>
              <a:noFill/>
              <a:extLst>
                <a:ext uri="{909E8E84-426E-40DD-AFC4-6F175D3DCCD1}">
                  <a14:hiddenFill>
                    <a:solidFill>
                      <a:srgbClr val="FFFFFF"/>
                    </a:solidFill>
                  </a14:hiddenFill>
                </a:ext>
              </a:extLst>
            </xdr:spPr>
          </xdr:pic>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448728</xdr:colOff>
          <xdr:row>71</xdr:row>
          <xdr:rowOff>16934</xdr:rowOff>
        </xdr:from>
        <xdr:to>
          <xdr:col>7</xdr:col>
          <xdr:colOff>295482</xdr:colOff>
          <xdr:row>72</xdr:row>
          <xdr:rowOff>223519</xdr:rowOff>
        </xdr:to>
        <xdr:grpSp>
          <xdr:nvGrpSpPr>
            <xdr:cNvPr id="142" name="Group 141"/>
            <xdr:cNvGrpSpPr/>
          </xdr:nvGrpSpPr>
          <xdr:grpSpPr>
            <a:xfrm>
              <a:off x="2057395" y="16304684"/>
              <a:ext cx="291254" cy="439418"/>
              <a:chOff x="2133599" y="11904134"/>
              <a:chExt cx="312420" cy="435185"/>
            </a:xfrm>
          </xdr:grpSpPr>
          <xdr:pic>
            <xdr:nvPicPr>
              <xdr:cNvPr id="143" name="Picture 142"/>
              <xdr:cNvPicPr>
                <a:picLocks noChangeAspect="1" noChangeArrowheads="1"/>
                <a:extLst>
                  <a:ext uri="{84589F7E-364E-4C9E-8A38-B11213B215E9}">
                    <a14:cameraTool cellRange="Flag35" spid="_x0000_s52140"/>
                  </a:ext>
                </a:extLst>
              </xdr:cNvPicPr>
            </xdr:nvPicPr>
            <xdr:blipFill>
              <a:blip xmlns:r="http://schemas.openxmlformats.org/officeDocument/2006/relationships" r:embed="rId45"/>
              <a:srcRect/>
              <a:stretch>
                <a:fillRect/>
              </a:stretch>
            </xdr:blipFill>
            <xdr:spPr bwMode="auto">
              <a:xfrm>
                <a:off x="2133599" y="11904134"/>
                <a:ext cx="312420" cy="198120"/>
              </a:xfrm>
              <a:prstGeom prst="rect">
                <a:avLst/>
              </a:prstGeom>
              <a:noFill/>
              <a:extLst>
                <a:ext uri="{909E8E84-426E-40DD-AFC4-6F175D3DCCD1}">
                  <a14:hiddenFill>
                    <a:solidFill>
                      <a:srgbClr val="FFFFFF"/>
                    </a:solidFill>
                  </a14:hiddenFill>
                </a:ext>
              </a:extLst>
            </xdr:spPr>
          </xdr:pic>
          <xdr:pic>
            <xdr:nvPicPr>
              <xdr:cNvPr id="144" name="Picture 143"/>
              <xdr:cNvPicPr>
                <a:picLocks noChangeAspect="1" noChangeArrowheads="1"/>
                <a:extLst>
                  <a:ext uri="{84589F7E-364E-4C9E-8A38-B11213B215E9}">
                    <a14:cameraTool cellRange="Flag36" spid="_x0000_s52141"/>
                  </a:ext>
                </a:extLst>
              </xdr:cNvPicPr>
            </xdr:nvPicPr>
            <xdr:blipFill>
              <a:blip xmlns:r="http://schemas.openxmlformats.org/officeDocument/2006/relationships" r:embed="rId42"/>
              <a:srcRect/>
              <a:stretch>
                <a:fillRect/>
              </a:stretch>
            </xdr:blipFill>
            <xdr:spPr bwMode="auto">
              <a:xfrm>
                <a:off x="2133599" y="12141199"/>
                <a:ext cx="312420" cy="198120"/>
              </a:xfrm>
              <a:prstGeom prst="rect">
                <a:avLst/>
              </a:prstGeom>
              <a:noFill/>
              <a:extLst>
                <a:ext uri="{909E8E84-426E-40DD-AFC4-6F175D3DCCD1}">
                  <a14:hiddenFill>
                    <a:solidFill>
                      <a:srgbClr val="FFFFFF"/>
                    </a:solidFill>
                  </a14:hiddenFill>
                </a:ext>
              </a:extLst>
            </xdr:spPr>
          </xdr:pic>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448728</xdr:colOff>
          <xdr:row>83</xdr:row>
          <xdr:rowOff>25401</xdr:rowOff>
        </xdr:from>
        <xdr:to>
          <xdr:col>7</xdr:col>
          <xdr:colOff>295482</xdr:colOff>
          <xdr:row>85</xdr:row>
          <xdr:rowOff>3386</xdr:rowOff>
        </xdr:to>
        <xdr:grpSp>
          <xdr:nvGrpSpPr>
            <xdr:cNvPr id="145" name="Group 144"/>
            <xdr:cNvGrpSpPr/>
          </xdr:nvGrpSpPr>
          <xdr:grpSpPr>
            <a:xfrm>
              <a:off x="2057395" y="19107151"/>
              <a:ext cx="291254" cy="443652"/>
              <a:chOff x="2133599" y="11904134"/>
              <a:chExt cx="312420" cy="435185"/>
            </a:xfrm>
          </xdr:grpSpPr>
          <xdr:pic>
            <xdr:nvPicPr>
              <xdr:cNvPr id="146" name="Picture 145"/>
              <xdr:cNvPicPr>
                <a:picLocks noChangeAspect="1" noChangeArrowheads="1"/>
                <a:extLst>
                  <a:ext uri="{84589F7E-364E-4C9E-8A38-B11213B215E9}">
                    <a14:cameraTool cellRange="Flag37" spid="_x0000_s52142"/>
                  </a:ext>
                </a:extLst>
              </xdr:cNvPicPr>
            </xdr:nvPicPr>
            <xdr:blipFill>
              <a:blip xmlns:r="http://schemas.openxmlformats.org/officeDocument/2006/relationships" r:embed="rId41"/>
              <a:srcRect/>
              <a:stretch>
                <a:fillRect/>
              </a:stretch>
            </xdr:blipFill>
            <xdr:spPr bwMode="auto">
              <a:xfrm>
                <a:off x="2133599" y="11904134"/>
                <a:ext cx="312420" cy="198120"/>
              </a:xfrm>
              <a:prstGeom prst="rect">
                <a:avLst/>
              </a:prstGeom>
              <a:noFill/>
              <a:extLst>
                <a:ext uri="{909E8E84-426E-40DD-AFC4-6F175D3DCCD1}">
                  <a14:hiddenFill>
                    <a:solidFill>
                      <a:srgbClr val="FFFFFF"/>
                    </a:solidFill>
                  </a14:hiddenFill>
                </a:ext>
              </a:extLst>
            </xdr:spPr>
          </xdr:pic>
          <xdr:pic>
            <xdr:nvPicPr>
              <xdr:cNvPr id="147" name="Picture 146"/>
              <xdr:cNvPicPr>
                <a:picLocks noChangeAspect="1" noChangeArrowheads="1"/>
                <a:extLst>
                  <a:ext uri="{84589F7E-364E-4C9E-8A38-B11213B215E9}">
                    <a14:cameraTool cellRange="Flag38" spid="_x0000_s52143"/>
                  </a:ext>
                </a:extLst>
              </xdr:cNvPicPr>
            </xdr:nvPicPr>
            <xdr:blipFill>
              <a:blip xmlns:r="http://schemas.openxmlformats.org/officeDocument/2006/relationships" r:embed="rId38"/>
              <a:srcRect/>
              <a:stretch>
                <a:fillRect/>
              </a:stretch>
            </xdr:blipFill>
            <xdr:spPr bwMode="auto">
              <a:xfrm>
                <a:off x="2133599" y="12141199"/>
                <a:ext cx="312420" cy="198120"/>
              </a:xfrm>
              <a:prstGeom prst="rect">
                <a:avLst/>
              </a:prstGeom>
              <a:noFill/>
              <a:extLst>
                <a:ext uri="{909E8E84-426E-40DD-AFC4-6F175D3DCCD1}">
                  <a14:hiddenFill>
                    <a:solidFill>
                      <a:srgbClr val="FFFFFF"/>
                    </a:solidFill>
                  </a14:hiddenFill>
                </a:ext>
              </a:extLst>
            </xdr:spPr>
          </xdr:pic>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448728</xdr:colOff>
          <xdr:row>95</xdr:row>
          <xdr:rowOff>25400</xdr:rowOff>
        </xdr:from>
        <xdr:to>
          <xdr:col>7</xdr:col>
          <xdr:colOff>295482</xdr:colOff>
          <xdr:row>97</xdr:row>
          <xdr:rowOff>3385</xdr:rowOff>
        </xdr:to>
        <xdr:grpSp>
          <xdr:nvGrpSpPr>
            <xdr:cNvPr id="148" name="Group 147"/>
            <xdr:cNvGrpSpPr/>
          </xdr:nvGrpSpPr>
          <xdr:grpSpPr>
            <a:xfrm>
              <a:off x="2057395" y="21901150"/>
              <a:ext cx="291254" cy="443652"/>
              <a:chOff x="2133599" y="11904134"/>
              <a:chExt cx="312420" cy="435185"/>
            </a:xfrm>
          </xdr:grpSpPr>
          <xdr:pic>
            <xdr:nvPicPr>
              <xdr:cNvPr id="149" name="Picture 148"/>
              <xdr:cNvPicPr>
                <a:picLocks noChangeAspect="1" noChangeArrowheads="1"/>
                <a:extLst>
                  <a:ext uri="{84589F7E-364E-4C9E-8A38-B11213B215E9}">
                    <a14:cameraTool cellRange="Flag39" spid="_x0000_s52144"/>
                  </a:ext>
                </a:extLst>
              </xdr:cNvPicPr>
            </xdr:nvPicPr>
            <xdr:blipFill>
              <a:blip xmlns:r="http://schemas.openxmlformats.org/officeDocument/2006/relationships" r:embed="rId30"/>
              <a:srcRect/>
              <a:stretch>
                <a:fillRect/>
              </a:stretch>
            </xdr:blipFill>
            <xdr:spPr bwMode="auto">
              <a:xfrm>
                <a:off x="2133599" y="11904134"/>
                <a:ext cx="312420" cy="198120"/>
              </a:xfrm>
              <a:prstGeom prst="rect">
                <a:avLst/>
              </a:prstGeom>
              <a:noFill/>
              <a:extLst>
                <a:ext uri="{909E8E84-426E-40DD-AFC4-6F175D3DCCD1}">
                  <a14:hiddenFill>
                    <a:solidFill>
                      <a:srgbClr val="FFFFFF"/>
                    </a:solidFill>
                  </a14:hiddenFill>
                </a:ext>
              </a:extLst>
            </xdr:spPr>
          </xdr:pic>
          <xdr:pic>
            <xdr:nvPicPr>
              <xdr:cNvPr id="150" name="Picture 149"/>
              <xdr:cNvPicPr>
                <a:picLocks noChangeAspect="1" noChangeArrowheads="1"/>
                <a:extLst>
                  <a:ext uri="{84589F7E-364E-4C9E-8A38-B11213B215E9}">
                    <a14:cameraTool cellRange="Flag40" spid="_x0000_s52145"/>
                  </a:ext>
                </a:extLst>
              </xdr:cNvPicPr>
            </xdr:nvPicPr>
            <xdr:blipFill>
              <a:blip xmlns:r="http://schemas.openxmlformats.org/officeDocument/2006/relationships" r:embed="rId46"/>
              <a:srcRect/>
              <a:stretch>
                <a:fillRect/>
              </a:stretch>
            </xdr:blipFill>
            <xdr:spPr bwMode="auto">
              <a:xfrm>
                <a:off x="2133599" y="12141199"/>
                <a:ext cx="312420" cy="198120"/>
              </a:xfrm>
              <a:prstGeom prst="rect">
                <a:avLst/>
              </a:prstGeom>
              <a:noFill/>
              <a:extLst>
                <a:ext uri="{909E8E84-426E-40DD-AFC4-6F175D3DCCD1}">
                  <a14:hiddenFill>
                    <a:solidFill>
                      <a:srgbClr val="FFFFFF"/>
                    </a:solidFill>
                  </a14:hiddenFill>
                </a:ext>
              </a:extLst>
            </xdr:spPr>
          </xdr:pic>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245528</xdr:colOff>
          <xdr:row>56</xdr:row>
          <xdr:rowOff>25400</xdr:rowOff>
        </xdr:from>
        <xdr:to>
          <xdr:col>13</xdr:col>
          <xdr:colOff>295481</xdr:colOff>
          <xdr:row>58</xdr:row>
          <xdr:rowOff>3385</xdr:rowOff>
        </xdr:to>
        <xdr:grpSp>
          <xdr:nvGrpSpPr>
            <xdr:cNvPr id="152" name="Group 151"/>
            <xdr:cNvGrpSpPr/>
          </xdr:nvGrpSpPr>
          <xdr:grpSpPr>
            <a:xfrm>
              <a:off x="4722278" y="12820650"/>
              <a:ext cx="293370" cy="443652"/>
              <a:chOff x="2133599" y="11904134"/>
              <a:chExt cx="312420" cy="435185"/>
            </a:xfrm>
          </xdr:grpSpPr>
          <xdr:pic>
            <xdr:nvPicPr>
              <xdr:cNvPr id="153" name="Picture 152"/>
              <xdr:cNvPicPr>
                <a:picLocks noChangeAspect="1" noChangeArrowheads="1"/>
                <a:extLst>
                  <a:ext uri="{84589F7E-364E-4C9E-8A38-B11213B215E9}">
                    <a14:cameraTool cellRange="Flag41" spid="_x0000_s52146"/>
                  </a:ext>
                </a:extLst>
              </xdr:cNvPicPr>
            </xdr:nvPicPr>
            <xdr:blipFill>
              <a:blip xmlns:r="http://schemas.openxmlformats.org/officeDocument/2006/relationships" r:embed="rId34"/>
              <a:srcRect/>
              <a:stretch>
                <a:fillRect/>
              </a:stretch>
            </xdr:blipFill>
            <xdr:spPr bwMode="auto">
              <a:xfrm>
                <a:off x="2133599" y="11904134"/>
                <a:ext cx="312420" cy="198120"/>
              </a:xfrm>
              <a:prstGeom prst="rect">
                <a:avLst/>
              </a:prstGeom>
              <a:noFill/>
              <a:extLst>
                <a:ext uri="{909E8E84-426E-40DD-AFC4-6F175D3DCCD1}">
                  <a14:hiddenFill>
                    <a:solidFill>
                      <a:srgbClr val="FFFFFF"/>
                    </a:solidFill>
                  </a14:hiddenFill>
                </a:ext>
              </a:extLst>
            </xdr:spPr>
          </xdr:pic>
          <xdr:pic>
            <xdr:nvPicPr>
              <xdr:cNvPr id="154" name="Picture 153"/>
              <xdr:cNvPicPr>
                <a:picLocks noChangeAspect="1" noChangeArrowheads="1"/>
                <a:extLst>
                  <a:ext uri="{84589F7E-364E-4C9E-8A38-B11213B215E9}">
                    <a14:cameraTool cellRange="Flag42" spid="_x0000_s52147"/>
                  </a:ext>
                </a:extLst>
              </xdr:cNvPicPr>
            </xdr:nvPicPr>
            <xdr:blipFill>
              <a:blip xmlns:r="http://schemas.openxmlformats.org/officeDocument/2006/relationships" r:embed="rId47"/>
              <a:srcRect/>
              <a:stretch>
                <a:fillRect/>
              </a:stretch>
            </xdr:blipFill>
            <xdr:spPr bwMode="auto">
              <a:xfrm>
                <a:off x="2133599" y="12141199"/>
                <a:ext cx="312420" cy="198120"/>
              </a:xfrm>
              <a:prstGeom prst="rect">
                <a:avLst/>
              </a:prstGeom>
              <a:noFill/>
              <a:extLst>
                <a:ext uri="{909E8E84-426E-40DD-AFC4-6F175D3DCCD1}">
                  <a14:hiddenFill>
                    <a:solidFill>
                      <a:srgbClr val="FFFFFF"/>
                    </a:solidFill>
                  </a14:hiddenFill>
                </a:ext>
              </a:extLst>
            </xdr:spPr>
          </xdr:pic>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245528</xdr:colOff>
          <xdr:row>68</xdr:row>
          <xdr:rowOff>16933</xdr:rowOff>
        </xdr:from>
        <xdr:to>
          <xdr:col>13</xdr:col>
          <xdr:colOff>295481</xdr:colOff>
          <xdr:row>69</xdr:row>
          <xdr:rowOff>223518</xdr:rowOff>
        </xdr:to>
        <xdr:grpSp>
          <xdr:nvGrpSpPr>
            <xdr:cNvPr id="155" name="Group 154"/>
            <xdr:cNvGrpSpPr/>
          </xdr:nvGrpSpPr>
          <xdr:grpSpPr>
            <a:xfrm>
              <a:off x="4722278" y="15606183"/>
              <a:ext cx="293370" cy="439418"/>
              <a:chOff x="2133599" y="11904134"/>
              <a:chExt cx="312420" cy="435185"/>
            </a:xfrm>
          </xdr:grpSpPr>
          <xdr:pic>
            <xdr:nvPicPr>
              <xdr:cNvPr id="156" name="Picture 155"/>
              <xdr:cNvPicPr>
                <a:picLocks noChangeAspect="1" noChangeArrowheads="1"/>
                <a:extLst>
                  <a:ext uri="{84589F7E-364E-4C9E-8A38-B11213B215E9}">
                    <a14:cameraTool cellRange="Flag43" spid="_x0000_s52148"/>
                  </a:ext>
                </a:extLst>
              </xdr:cNvPicPr>
            </xdr:nvPicPr>
            <xdr:blipFill>
              <a:blip xmlns:r="http://schemas.openxmlformats.org/officeDocument/2006/relationships" r:embed="rId29"/>
              <a:srcRect/>
              <a:stretch>
                <a:fillRect/>
              </a:stretch>
            </xdr:blipFill>
            <xdr:spPr bwMode="auto">
              <a:xfrm>
                <a:off x="2133599" y="11904134"/>
                <a:ext cx="312420" cy="198120"/>
              </a:xfrm>
              <a:prstGeom prst="rect">
                <a:avLst/>
              </a:prstGeom>
              <a:noFill/>
              <a:extLst>
                <a:ext uri="{909E8E84-426E-40DD-AFC4-6F175D3DCCD1}">
                  <a14:hiddenFill>
                    <a:solidFill>
                      <a:srgbClr val="FFFFFF"/>
                    </a:solidFill>
                  </a14:hiddenFill>
                </a:ext>
              </a:extLst>
            </xdr:spPr>
          </xdr:pic>
          <xdr:pic>
            <xdr:nvPicPr>
              <xdr:cNvPr id="157" name="Picture 156"/>
              <xdr:cNvPicPr>
                <a:picLocks noChangeAspect="1" noChangeArrowheads="1"/>
                <a:extLst>
                  <a:ext uri="{84589F7E-364E-4C9E-8A38-B11213B215E9}">
                    <a14:cameraTool cellRange="Flag44" spid="_x0000_s52149"/>
                  </a:ext>
                </a:extLst>
              </xdr:cNvPicPr>
            </xdr:nvPicPr>
            <xdr:blipFill>
              <a:blip xmlns:r="http://schemas.openxmlformats.org/officeDocument/2006/relationships" r:embed="rId42"/>
              <a:srcRect/>
              <a:stretch>
                <a:fillRect/>
              </a:stretch>
            </xdr:blipFill>
            <xdr:spPr bwMode="auto">
              <a:xfrm>
                <a:off x="2133599" y="12141199"/>
                <a:ext cx="312420" cy="198120"/>
              </a:xfrm>
              <a:prstGeom prst="rect">
                <a:avLst/>
              </a:prstGeom>
              <a:noFill/>
              <a:extLst>
                <a:ext uri="{909E8E84-426E-40DD-AFC4-6F175D3DCCD1}">
                  <a14:hiddenFill>
                    <a:solidFill>
                      <a:srgbClr val="FFFFFF"/>
                    </a:solidFill>
                  </a14:hiddenFill>
                </a:ext>
              </a:extLst>
            </xdr:spPr>
          </xdr:pic>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245528</xdr:colOff>
          <xdr:row>80</xdr:row>
          <xdr:rowOff>16933</xdr:rowOff>
        </xdr:from>
        <xdr:to>
          <xdr:col>13</xdr:col>
          <xdr:colOff>295481</xdr:colOff>
          <xdr:row>81</xdr:row>
          <xdr:rowOff>223518</xdr:rowOff>
        </xdr:to>
        <xdr:grpSp>
          <xdr:nvGrpSpPr>
            <xdr:cNvPr id="158" name="Group 157"/>
            <xdr:cNvGrpSpPr/>
          </xdr:nvGrpSpPr>
          <xdr:grpSpPr>
            <a:xfrm>
              <a:off x="4722278" y="18400183"/>
              <a:ext cx="293370" cy="439418"/>
              <a:chOff x="2133599" y="11904134"/>
              <a:chExt cx="312420" cy="435185"/>
            </a:xfrm>
          </xdr:grpSpPr>
          <xdr:pic>
            <xdr:nvPicPr>
              <xdr:cNvPr id="159" name="Picture 158"/>
              <xdr:cNvPicPr>
                <a:picLocks noChangeAspect="1" noChangeArrowheads="1"/>
                <a:extLst>
                  <a:ext uri="{84589F7E-364E-4C9E-8A38-B11213B215E9}">
                    <a14:cameraTool cellRange="Flag45" spid="_x0000_s52150"/>
                  </a:ext>
                </a:extLst>
              </xdr:cNvPicPr>
            </xdr:nvPicPr>
            <xdr:blipFill>
              <a:blip xmlns:r="http://schemas.openxmlformats.org/officeDocument/2006/relationships" r:embed="rId33"/>
              <a:srcRect/>
              <a:stretch>
                <a:fillRect/>
              </a:stretch>
            </xdr:blipFill>
            <xdr:spPr bwMode="auto">
              <a:xfrm>
                <a:off x="2133599" y="11904134"/>
                <a:ext cx="312420" cy="198120"/>
              </a:xfrm>
              <a:prstGeom prst="rect">
                <a:avLst/>
              </a:prstGeom>
              <a:noFill/>
              <a:extLst>
                <a:ext uri="{909E8E84-426E-40DD-AFC4-6F175D3DCCD1}">
                  <a14:hiddenFill>
                    <a:solidFill>
                      <a:srgbClr val="FFFFFF"/>
                    </a:solidFill>
                  </a14:hiddenFill>
                </a:ext>
              </a:extLst>
            </xdr:spPr>
          </xdr:pic>
          <xdr:pic>
            <xdr:nvPicPr>
              <xdr:cNvPr id="160" name="Picture 159"/>
              <xdr:cNvPicPr>
                <a:picLocks noChangeAspect="1" noChangeArrowheads="1"/>
                <a:extLst>
                  <a:ext uri="{84589F7E-364E-4C9E-8A38-B11213B215E9}">
                    <a14:cameraTool cellRange="Flag46" spid="_x0000_s52151"/>
                  </a:ext>
                </a:extLst>
              </xdr:cNvPicPr>
            </xdr:nvPicPr>
            <xdr:blipFill>
              <a:blip xmlns:r="http://schemas.openxmlformats.org/officeDocument/2006/relationships" r:embed="rId41"/>
              <a:srcRect/>
              <a:stretch>
                <a:fillRect/>
              </a:stretch>
            </xdr:blipFill>
            <xdr:spPr bwMode="auto">
              <a:xfrm>
                <a:off x="2133599" y="12141199"/>
                <a:ext cx="312420" cy="198120"/>
              </a:xfrm>
              <a:prstGeom prst="rect">
                <a:avLst/>
              </a:prstGeom>
              <a:noFill/>
              <a:extLst>
                <a:ext uri="{909E8E84-426E-40DD-AFC4-6F175D3DCCD1}">
                  <a14:hiddenFill>
                    <a:solidFill>
                      <a:srgbClr val="FFFFFF"/>
                    </a:solidFill>
                  </a14:hiddenFill>
                </a:ext>
              </a:extLst>
            </xdr:spPr>
          </xdr:pic>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245528</xdr:colOff>
          <xdr:row>92</xdr:row>
          <xdr:rowOff>25399</xdr:rowOff>
        </xdr:from>
        <xdr:to>
          <xdr:col>13</xdr:col>
          <xdr:colOff>295481</xdr:colOff>
          <xdr:row>94</xdr:row>
          <xdr:rowOff>3384</xdr:rowOff>
        </xdr:to>
        <xdr:grpSp>
          <xdr:nvGrpSpPr>
            <xdr:cNvPr id="161" name="Group 160"/>
            <xdr:cNvGrpSpPr/>
          </xdr:nvGrpSpPr>
          <xdr:grpSpPr>
            <a:xfrm>
              <a:off x="4722278" y="21202649"/>
              <a:ext cx="293370" cy="443652"/>
              <a:chOff x="2133599" y="11904134"/>
              <a:chExt cx="312420" cy="435185"/>
            </a:xfrm>
          </xdr:grpSpPr>
          <xdr:pic>
            <xdr:nvPicPr>
              <xdr:cNvPr id="162" name="Picture 161"/>
              <xdr:cNvPicPr>
                <a:picLocks noChangeAspect="1" noChangeArrowheads="1"/>
                <a:extLst>
                  <a:ext uri="{84589F7E-364E-4C9E-8A38-B11213B215E9}">
                    <a14:cameraTool cellRange="Flag47" spid="_x0000_s52152"/>
                  </a:ext>
                </a:extLst>
              </xdr:cNvPicPr>
            </xdr:nvPicPr>
            <xdr:blipFill>
              <a:blip xmlns:r="http://schemas.openxmlformats.org/officeDocument/2006/relationships" r:embed="rId25"/>
              <a:srcRect/>
              <a:stretch>
                <a:fillRect/>
              </a:stretch>
            </xdr:blipFill>
            <xdr:spPr bwMode="auto">
              <a:xfrm>
                <a:off x="2133599" y="11904134"/>
                <a:ext cx="312420" cy="198120"/>
              </a:xfrm>
              <a:prstGeom prst="rect">
                <a:avLst/>
              </a:prstGeom>
              <a:noFill/>
              <a:extLst>
                <a:ext uri="{909E8E84-426E-40DD-AFC4-6F175D3DCCD1}">
                  <a14:hiddenFill>
                    <a:solidFill>
                      <a:srgbClr val="FFFFFF"/>
                    </a:solidFill>
                  </a14:hiddenFill>
                </a:ext>
              </a:extLst>
            </xdr:spPr>
          </xdr:pic>
          <xdr:pic>
            <xdr:nvPicPr>
              <xdr:cNvPr id="163" name="Picture 162"/>
              <xdr:cNvPicPr>
                <a:picLocks noChangeAspect="1" noChangeArrowheads="1"/>
                <a:extLst>
                  <a:ext uri="{84589F7E-364E-4C9E-8A38-B11213B215E9}">
                    <a14:cameraTool cellRange="Flag48" spid="_x0000_s52153"/>
                  </a:ext>
                </a:extLst>
              </xdr:cNvPicPr>
            </xdr:nvPicPr>
            <xdr:blipFill>
              <a:blip xmlns:r="http://schemas.openxmlformats.org/officeDocument/2006/relationships" r:embed="rId46"/>
              <a:srcRect/>
              <a:stretch>
                <a:fillRect/>
              </a:stretch>
            </xdr:blipFill>
            <xdr:spPr bwMode="auto">
              <a:xfrm>
                <a:off x="2133599" y="12141199"/>
                <a:ext cx="312420" cy="198120"/>
              </a:xfrm>
              <a:prstGeom prst="rect">
                <a:avLst/>
              </a:prstGeom>
              <a:noFill/>
              <a:extLst>
                <a:ext uri="{909E8E84-426E-40DD-AFC4-6F175D3DCCD1}">
                  <a14:hiddenFill>
                    <a:solidFill>
                      <a:srgbClr val="FFFFFF"/>
                    </a:solidFill>
                  </a14:hiddenFill>
                </a:ext>
              </a:extLst>
            </xdr:spPr>
          </xdr:pic>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245528</xdr:colOff>
          <xdr:row>62</xdr:row>
          <xdr:rowOff>25400</xdr:rowOff>
        </xdr:from>
        <xdr:to>
          <xdr:col>19</xdr:col>
          <xdr:colOff>33014</xdr:colOff>
          <xdr:row>64</xdr:row>
          <xdr:rowOff>3385</xdr:rowOff>
        </xdr:to>
        <xdr:grpSp>
          <xdr:nvGrpSpPr>
            <xdr:cNvPr id="164" name="Group 163"/>
            <xdr:cNvGrpSpPr/>
          </xdr:nvGrpSpPr>
          <xdr:grpSpPr>
            <a:xfrm>
              <a:off x="7145861" y="14217650"/>
              <a:ext cx="274320" cy="443652"/>
              <a:chOff x="2133599" y="11904134"/>
              <a:chExt cx="312420" cy="435185"/>
            </a:xfrm>
          </xdr:grpSpPr>
          <xdr:pic>
            <xdr:nvPicPr>
              <xdr:cNvPr id="165" name="Picture 164"/>
              <xdr:cNvPicPr>
                <a:picLocks noChangeAspect="1" noChangeArrowheads="1"/>
                <a:extLst>
                  <a:ext uri="{84589F7E-364E-4C9E-8A38-B11213B215E9}">
                    <a14:cameraTool cellRange="Flag49" spid="_x0000_s52154"/>
                  </a:ext>
                </a:extLst>
              </xdr:cNvPicPr>
            </xdr:nvPicPr>
            <xdr:blipFill>
              <a:blip xmlns:r="http://schemas.openxmlformats.org/officeDocument/2006/relationships" r:embed="rId47"/>
              <a:srcRect/>
              <a:stretch>
                <a:fillRect/>
              </a:stretch>
            </xdr:blipFill>
            <xdr:spPr bwMode="auto">
              <a:xfrm>
                <a:off x="2133599" y="11904134"/>
                <a:ext cx="312420" cy="198120"/>
              </a:xfrm>
              <a:prstGeom prst="rect">
                <a:avLst/>
              </a:prstGeom>
              <a:noFill/>
              <a:extLst>
                <a:ext uri="{909E8E84-426E-40DD-AFC4-6F175D3DCCD1}">
                  <a14:hiddenFill>
                    <a:solidFill>
                      <a:srgbClr val="FFFFFF"/>
                    </a:solidFill>
                  </a14:hiddenFill>
                </a:ext>
              </a:extLst>
            </xdr:spPr>
          </xdr:pic>
          <xdr:pic>
            <xdr:nvPicPr>
              <xdr:cNvPr id="166" name="Picture 165"/>
              <xdr:cNvPicPr>
                <a:picLocks noChangeAspect="1" noChangeArrowheads="1"/>
                <a:extLst>
                  <a:ext uri="{84589F7E-364E-4C9E-8A38-B11213B215E9}">
                    <a14:cameraTool cellRange="Flag50" spid="_x0000_s52155"/>
                  </a:ext>
                </a:extLst>
              </xdr:cNvPicPr>
            </xdr:nvPicPr>
            <xdr:blipFill>
              <a:blip xmlns:r="http://schemas.openxmlformats.org/officeDocument/2006/relationships" r:embed="rId29"/>
              <a:srcRect/>
              <a:stretch>
                <a:fillRect/>
              </a:stretch>
            </xdr:blipFill>
            <xdr:spPr bwMode="auto">
              <a:xfrm>
                <a:off x="2133599" y="12141199"/>
                <a:ext cx="312420" cy="198120"/>
              </a:xfrm>
              <a:prstGeom prst="rect">
                <a:avLst/>
              </a:prstGeom>
              <a:noFill/>
              <a:extLst>
                <a:ext uri="{909E8E84-426E-40DD-AFC4-6F175D3DCCD1}">
                  <a14:hiddenFill>
                    <a:solidFill>
                      <a:srgbClr val="FFFFFF"/>
                    </a:solidFill>
                  </a14:hiddenFill>
                </a:ext>
              </a:extLst>
            </xdr:spPr>
          </xdr:pic>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8460</xdr:colOff>
          <xdr:row>86</xdr:row>
          <xdr:rowOff>16933</xdr:rowOff>
        </xdr:from>
        <xdr:to>
          <xdr:col>19</xdr:col>
          <xdr:colOff>58413</xdr:colOff>
          <xdr:row>87</xdr:row>
          <xdr:rowOff>223518</xdr:rowOff>
        </xdr:to>
        <xdr:grpSp>
          <xdr:nvGrpSpPr>
            <xdr:cNvPr id="167" name="Group 166"/>
            <xdr:cNvGrpSpPr/>
          </xdr:nvGrpSpPr>
          <xdr:grpSpPr>
            <a:xfrm>
              <a:off x="7152210" y="19797183"/>
              <a:ext cx="293370" cy="439418"/>
              <a:chOff x="2133599" y="11904134"/>
              <a:chExt cx="312420" cy="435185"/>
            </a:xfrm>
          </xdr:grpSpPr>
          <xdr:pic>
            <xdr:nvPicPr>
              <xdr:cNvPr id="168" name="Picture 167"/>
              <xdr:cNvPicPr>
                <a:picLocks noChangeAspect="1" noChangeArrowheads="1"/>
                <a:extLst>
                  <a:ext uri="{84589F7E-364E-4C9E-8A38-B11213B215E9}">
                    <a14:cameraTool cellRange="Flag51" spid="_x0000_s52156"/>
                  </a:ext>
                </a:extLst>
              </xdr:cNvPicPr>
            </xdr:nvPicPr>
            <xdr:blipFill>
              <a:blip xmlns:r="http://schemas.openxmlformats.org/officeDocument/2006/relationships" r:embed="rId33"/>
              <a:srcRect/>
              <a:stretch>
                <a:fillRect/>
              </a:stretch>
            </xdr:blipFill>
            <xdr:spPr bwMode="auto">
              <a:xfrm>
                <a:off x="2133599" y="11904134"/>
                <a:ext cx="312420" cy="198120"/>
              </a:xfrm>
              <a:prstGeom prst="rect">
                <a:avLst/>
              </a:prstGeom>
              <a:noFill/>
              <a:extLst>
                <a:ext uri="{909E8E84-426E-40DD-AFC4-6F175D3DCCD1}">
                  <a14:hiddenFill>
                    <a:solidFill>
                      <a:srgbClr val="FFFFFF"/>
                    </a:solidFill>
                  </a14:hiddenFill>
                </a:ext>
              </a:extLst>
            </xdr:spPr>
          </xdr:pic>
          <xdr:pic>
            <xdr:nvPicPr>
              <xdr:cNvPr id="169" name="Picture 168"/>
              <xdr:cNvPicPr>
                <a:picLocks noChangeAspect="1" noChangeArrowheads="1"/>
                <a:extLst>
                  <a:ext uri="{84589F7E-364E-4C9E-8A38-B11213B215E9}">
                    <a14:cameraTool cellRange="Flag52" spid="_x0000_s52157"/>
                  </a:ext>
                </a:extLst>
              </xdr:cNvPicPr>
            </xdr:nvPicPr>
            <xdr:blipFill>
              <a:blip xmlns:r="http://schemas.openxmlformats.org/officeDocument/2006/relationships" r:embed="rId25"/>
              <a:srcRect/>
              <a:stretch>
                <a:fillRect/>
              </a:stretch>
            </xdr:blipFill>
            <xdr:spPr bwMode="auto">
              <a:xfrm>
                <a:off x="2133599" y="12141199"/>
                <a:ext cx="312420" cy="198120"/>
              </a:xfrm>
              <a:prstGeom prst="rect">
                <a:avLst/>
              </a:prstGeom>
              <a:noFill/>
              <a:extLst>
                <a:ext uri="{909E8E84-426E-40DD-AFC4-6F175D3DCCD1}">
                  <a14:hiddenFill>
                    <a:solidFill>
                      <a:srgbClr val="FFFFFF"/>
                    </a:solidFill>
                  </a14:hiddenFill>
                </a:ext>
              </a:extLst>
            </xdr:spPr>
          </xdr:pic>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253995</xdr:colOff>
          <xdr:row>74</xdr:row>
          <xdr:rowOff>16933</xdr:rowOff>
        </xdr:from>
        <xdr:to>
          <xdr:col>29</xdr:col>
          <xdr:colOff>41482</xdr:colOff>
          <xdr:row>75</xdr:row>
          <xdr:rowOff>223518</xdr:rowOff>
        </xdr:to>
        <xdr:grpSp>
          <xdr:nvGrpSpPr>
            <xdr:cNvPr id="170" name="Group 169"/>
            <xdr:cNvGrpSpPr/>
          </xdr:nvGrpSpPr>
          <xdr:grpSpPr>
            <a:xfrm>
              <a:off x="9578970" y="17003183"/>
              <a:ext cx="283845" cy="439418"/>
              <a:chOff x="2133599" y="11904134"/>
              <a:chExt cx="312420" cy="435185"/>
            </a:xfrm>
          </xdr:grpSpPr>
          <xdr:pic>
            <xdr:nvPicPr>
              <xdr:cNvPr id="171" name="Picture 170"/>
              <xdr:cNvPicPr>
                <a:picLocks noChangeAspect="1" noChangeArrowheads="1"/>
                <a:extLst>
                  <a:ext uri="{84589F7E-364E-4C9E-8A38-B11213B215E9}">
                    <a14:cameraTool cellRange="Flag53" spid="_x0000_s52158"/>
                  </a:ext>
                </a:extLst>
              </xdr:cNvPicPr>
            </xdr:nvPicPr>
            <xdr:blipFill>
              <a:blip xmlns:r="http://schemas.openxmlformats.org/officeDocument/2006/relationships" r:embed="rId47"/>
              <a:srcRect/>
              <a:stretch>
                <a:fillRect/>
              </a:stretch>
            </xdr:blipFill>
            <xdr:spPr bwMode="auto">
              <a:xfrm>
                <a:off x="2133599" y="11904134"/>
                <a:ext cx="312420" cy="198120"/>
              </a:xfrm>
              <a:prstGeom prst="rect">
                <a:avLst/>
              </a:prstGeom>
              <a:noFill/>
              <a:extLst>
                <a:ext uri="{909E8E84-426E-40DD-AFC4-6F175D3DCCD1}">
                  <a14:hiddenFill>
                    <a:solidFill>
                      <a:srgbClr val="FFFFFF"/>
                    </a:solidFill>
                  </a14:hiddenFill>
                </a:ext>
              </a:extLst>
            </xdr:spPr>
          </xdr:pic>
          <xdr:pic>
            <xdr:nvPicPr>
              <xdr:cNvPr id="172" name="Picture 171"/>
              <xdr:cNvPicPr>
                <a:picLocks noChangeAspect="1" noChangeArrowheads="1"/>
                <a:extLst>
                  <a:ext uri="{84589F7E-364E-4C9E-8A38-B11213B215E9}">
                    <a14:cameraTool cellRange="Flag54" spid="_x0000_s52159"/>
                  </a:ext>
                </a:extLst>
              </xdr:cNvPicPr>
            </xdr:nvPicPr>
            <xdr:blipFill>
              <a:blip xmlns:r="http://schemas.openxmlformats.org/officeDocument/2006/relationships" r:embed="rId25"/>
              <a:srcRect/>
              <a:stretch>
                <a:fillRect/>
              </a:stretch>
            </xdr:blipFill>
            <xdr:spPr bwMode="auto">
              <a:xfrm>
                <a:off x="2133599" y="12141199"/>
                <a:ext cx="312420" cy="198120"/>
              </a:xfrm>
              <a:prstGeom prst="rect">
                <a:avLst/>
              </a:prstGeom>
              <a:noFill/>
              <a:extLst>
                <a:ext uri="{909E8E84-426E-40DD-AFC4-6F175D3DCCD1}">
                  <a14:hiddenFill>
                    <a:solidFill>
                      <a:srgbClr val="FFFFFF"/>
                    </a:solidFill>
                  </a14:hiddenFill>
                </a:ext>
              </a:extLst>
            </xdr:spPr>
          </xdr:pic>
        </xdr:grpSp>
        <xdr:clientData/>
      </xdr:twoCellAnchor>
    </mc:Choice>
    <mc:Fallback/>
  </mc:AlternateContent>
  <mc:AlternateContent xmlns:mc="http://schemas.openxmlformats.org/markup-compatibility/2006">
    <mc:Choice xmlns:a14="http://schemas.microsoft.com/office/drawing/2010/main" Requires="a14">
      <xdr:twoCellAnchor>
        <xdr:from>
          <xdr:col>28</xdr:col>
          <xdr:colOff>8462</xdr:colOff>
          <xdr:row>90</xdr:row>
          <xdr:rowOff>42333</xdr:rowOff>
        </xdr:from>
        <xdr:to>
          <xdr:col>29</xdr:col>
          <xdr:colOff>58416</xdr:colOff>
          <xdr:row>91</xdr:row>
          <xdr:rowOff>11853</xdr:rowOff>
        </xdr:to>
        <xdr:pic>
          <xdr:nvPicPr>
            <xdr:cNvPr id="174" name="Picture 173"/>
            <xdr:cNvPicPr>
              <a:picLocks noChangeAspect="1" noChangeArrowheads="1"/>
              <a:extLst>
                <a:ext uri="{84589F7E-364E-4C9E-8A38-B11213B215E9}">
                  <a14:cameraTool cellRange="Flag55" spid="_x0000_s52160"/>
                </a:ext>
              </a:extLst>
            </xdr:cNvPicPr>
          </xdr:nvPicPr>
          <xdr:blipFill>
            <a:blip xmlns:r="http://schemas.openxmlformats.org/officeDocument/2006/relationships" r:embed="rId47"/>
            <a:srcRect/>
            <a:stretch>
              <a:fillRect/>
            </a:stretch>
          </xdr:blipFill>
          <xdr:spPr bwMode="auto">
            <a:xfrm>
              <a:off x="10126129" y="20387733"/>
              <a:ext cx="312420" cy="19812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8462</xdr:colOff>
          <xdr:row>93</xdr:row>
          <xdr:rowOff>135466</xdr:rowOff>
        </xdr:from>
        <xdr:to>
          <xdr:col>29</xdr:col>
          <xdr:colOff>58416</xdr:colOff>
          <xdr:row>94</xdr:row>
          <xdr:rowOff>104986</xdr:rowOff>
        </xdr:to>
        <xdr:pic>
          <xdr:nvPicPr>
            <xdr:cNvPr id="175" name="Picture 174"/>
            <xdr:cNvPicPr>
              <a:picLocks noChangeAspect="1" noChangeArrowheads="1"/>
              <a:extLst>
                <a:ext uri="{84589F7E-364E-4C9E-8A38-B11213B215E9}">
                  <a14:cameraTool cellRange="Flag56" spid="_x0000_s52161"/>
                </a:ext>
              </a:extLst>
            </xdr:cNvPicPr>
          </xdr:nvPicPr>
          <xdr:blipFill>
            <a:blip xmlns:r="http://schemas.openxmlformats.org/officeDocument/2006/relationships" r:embed="rId25"/>
            <a:srcRect/>
            <a:stretch>
              <a:fillRect/>
            </a:stretch>
          </xdr:blipFill>
          <xdr:spPr bwMode="auto">
            <a:xfrm>
              <a:off x="10126129" y="21166666"/>
              <a:ext cx="312420" cy="19812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8462</xdr:colOff>
          <xdr:row>95</xdr:row>
          <xdr:rowOff>16932</xdr:rowOff>
        </xdr:from>
        <xdr:to>
          <xdr:col>29</xdr:col>
          <xdr:colOff>58416</xdr:colOff>
          <xdr:row>95</xdr:row>
          <xdr:rowOff>215052</xdr:rowOff>
        </xdr:to>
        <xdr:pic>
          <xdr:nvPicPr>
            <xdr:cNvPr id="176" name="Picture 175"/>
            <xdr:cNvPicPr>
              <a:picLocks noChangeAspect="1" noChangeArrowheads="1"/>
              <a:extLst>
                <a:ext uri="{84589F7E-364E-4C9E-8A38-B11213B215E9}">
                  <a14:cameraTool cellRange="Flag57" spid="_x0000_s52162"/>
                </a:ext>
              </a:extLst>
            </xdr:cNvPicPr>
          </xdr:nvPicPr>
          <xdr:blipFill>
            <a:blip xmlns:r="http://schemas.openxmlformats.org/officeDocument/2006/relationships" r:embed="rId29"/>
            <a:srcRect/>
            <a:stretch>
              <a:fillRect/>
            </a:stretch>
          </xdr:blipFill>
          <xdr:spPr bwMode="auto">
            <a:xfrm>
              <a:off x="10126129" y="21505332"/>
              <a:ext cx="312420" cy="19812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8462</xdr:colOff>
          <xdr:row>96</xdr:row>
          <xdr:rowOff>25398</xdr:rowOff>
        </xdr:from>
        <xdr:to>
          <xdr:col>29</xdr:col>
          <xdr:colOff>58416</xdr:colOff>
          <xdr:row>96</xdr:row>
          <xdr:rowOff>223518</xdr:rowOff>
        </xdr:to>
        <xdr:pic>
          <xdr:nvPicPr>
            <xdr:cNvPr id="177" name="Picture 176"/>
            <xdr:cNvPicPr>
              <a:picLocks noChangeAspect="1" noChangeArrowheads="1"/>
              <a:extLst>
                <a:ext uri="{84589F7E-364E-4C9E-8A38-B11213B215E9}">
                  <a14:cameraTool cellRange="Flag58" spid="_x0000_s52163"/>
                </a:ext>
              </a:extLst>
            </xdr:cNvPicPr>
          </xdr:nvPicPr>
          <xdr:blipFill>
            <a:blip xmlns:r="http://schemas.openxmlformats.org/officeDocument/2006/relationships" r:embed="rId33"/>
            <a:srcRect/>
            <a:stretch>
              <a:fillRect/>
            </a:stretch>
          </xdr:blipFill>
          <xdr:spPr bwMode="auto">
            <a:xfrm>
              <a:off x="10126129" y="21742398"/>
              <a:ext cx="312420" cy="19812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28</xdr:col>
      <xdr:colOff>76200</xdr:colOff>
      <xdr:row>51</xdr:row>
      <xdr:rowOff>110067</xdr:rowOff>
    </xdr:from>
    <xdr:to>
      <xdr:col>41</xdr:col>
      <xdr:colOff>0</xdr:colOff>
      <xdr:row>67</xdr:row>
      <xdr:rowOff>220133</xdr:rowOff>
    </xdr:to>
    <xdr:sp macro="" textlink="">
      <xdr:nvSpPr>
        <xdr:cNvPr id="3" name="TextBox 2"/>
        <xdr:cNvSpPr txBox="1"/>
      </xdr:nvSpPr>
      <xdr:spPr>
        <a:xfrm>
          <a:off x="10193867" y="11540067"/>
          <a:ext cx="3166533" cy="3767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8000" b="1" cap="none" spc="0">
              <a:ln w="19050">
                <a:solidFill>
                  <a:schemeClr val="tx2">
                    <a:tint val="1000"/>
                  </a:schemeClr>
                </a:solidFill>
                <a:prstDash val="solid"/>
              </a:ln>
              <a:solidFill>
                <a:schemeClr val="accent3"/>
              </a:solidFill>
              <a:effectLst>
                <a:outerShdw blurRad="50000" dist="50800" dir="7500000" algn="tl">
                  <a:srgbClr val="000000">
                    <a:shade val="5000"/>
                    <a:alpha val="35000"/>
                  </a:srgbClr>
                </a:outerShdw>
              </a:effectLst>
            </a:rPr>
            <a:t>EURO 2016</a:t>
          </a:r>
          <a:endParaRPr lang="en-US" sz="80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220980</xdr:colOff>
      <xdr:row>0</xdr:row>
      <xdr:rowOff>99060</xdr:rowOff>
    </xdr:from>
    <xdr:to>
      <xdr:col>25</xdr:col>
      <xdr:colOff>99060</xdr:colOff>
      <xdr:row>6</xdr:row>
      <xdr:rowOff>68580</xdr:rowOff>
    </xdr:to>
    <xdr:sp macro="" textlink="">
      <xdr:nvSpPr>
        <xdr:cNvPr id="2" name="TextBox 1"/>
        <xdr:cNvSpPr txBox="1"/>
      </xdr:nvSpPr>
      <xdr:spPr>
        <a:xfrm>
          <a:off x="220980" y="99060"/>
          <a:ext cx="6164580" cy="16840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dk1"/>
              </a:solidFill>
              <a:effectLst/>
              <a:latin typeface="+mn-lt"/>
              <a:ea typeface="+mn-ea"/>
              <a:cs typeface="+mn-cs"/>
            </a:rPr>
            <a:t>EURO 2016</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Schedule and</a:t>
          </a:r>
          <a:r>
            <a:rPr lang="en-US" sz="1100" b="1" baseline="0">
              <a:solidFill>
                <a:schemeClr val="dk1"/>
              </a:solidFill>
              <a:effectLst/>
              <a:latin typeface="+mn-lt"/>
              <a:ea typeface="+mn-ea"/>
              <a:cs typeface="+mn-cs"/>
            </a:rPr>
            <a:t> Scoresheet</a:t>
          </a:r>
        </a:p>
        <a:p>
          <a:pPr algn="ctr"/>
          <a:r>
            <a:rPr lang="en-US" sz="1100" baseline="0">
              <a:solidFill>
                <a:schemeClr val="dk1"/>
              </a:solidFill>
              <a:effectLst/>
              <a:latin typeface="+mn-lt"/>
              <a:ea typeface="+mn-ea"/>
              <a:cs typeface="+mn-cs"/>
            </a:rPr>
            <a:t>V1.8</a:t>
          </a:r>
        </a:p>
        <a:p>
          <a:pPr algn="ctr"/>
          <a:endParaRPr lang="en-US">
            <a:effectLst/>
          </a:endParaRPr>
        </a:p>
        <a:p>
          <a:pPr algn="ctr"/>
          <a:r>
            <a:rPr lang="en-US" sz="1100" baseline="0">
              <a:solidFill>
                <a:schemeClr val="dk1"/>
              </a:solidFill>
              <a:effectLst/>
              <a:latin typeface="+mn-lt"/>
              <a:ea typeface="+mn-ea"/>
              <a:cs typeface="+mn-cs"/>
            </a:rPr>
            <a:t>License: Personal Usage (read EULA)</a:t>
          </a:r>
          <a:endParaRPr lang="en-US">
            <a:effectLst/>
          </a:endParaRPr>
        </a:p>
        <a:p>
          <a:pPr algn="ctr"/>
          <a:r>
            <a:rPr lang="en-US" sz="1100" baseline="0">
              <a:solidFill>
                <a:schemeClr val="dk1"/>
              </a:solidFill>
              <a:effectLst/>
              <a:latin typeface="+mn-lt"/>
              <a:ea typeface="+mn-ea"/>
              <a:cs typeface="+mn-cs"/>
            </a:rPr>
            <a:t>Copyrights (c) 2016 - Exceltemplate.net</a:t>
          </a:r>
          <a:endParaRPr lang="en-US">
            <a:effectLst/>
          </a:endParaRPr>
        </a:p>
        <a:p>
          <a:pPr algn="ctr"/>
          <a:r>
            <a:rPr lang="en-US" sz="1100" baseline="0">
              <a:solidFill>
                <a:schemeClr val="dk1"/>
              </a:solidFill>
              <a:effectLst/>
              <a:latin typeface="+mn-lt"/>
              <a:ea typeface="+mn-ea"/>
              <a:cs typeface="+mn-cs"/>
            </a:rPr>
            <a:t>All rights reserved</a:t>
          </a:r>
        </a:p>
        <a:p>
          <a:pPr algn="ctr"/>
          <a:endParaRPr lang="en-US">
            <a:effectLst/>
          </a:endParaRPr>
        </a:p>
        <a:p>
          <a:pPr algn="ctr"/>
          <a:r>
            <a:rPr lang="en-US" sz="1100" baseline="0">
              <a:solidFill>
                <a:schemeClr val="dk1"/>
              </a:solidFill>
              <a:effectLst/>
              <a:latin typeface="+mn-lt"/>
              <a:ea typeface="+mn-ea"/>
              <a:cs typeface="+mn-cs"/>
            </a:rPr>
            <a:t>More template information</a:t>
          </a:r>
          <a:endParaRPr lang="en-US">
            <a:effectLst/>
          </a:endParaRPr>
        </a:p>
        <a:p>
          <a:pPr algn="ctr"/>
          <a:r>
            <a:rPr lang="en-US" sz="1100">
              <a:solidFill>
                <a:schemeClr val="dk1"/>
              </a:solidFill>
              <a:effectLst/>
              <a:latin typeface="+mn-lt"/>
              <a:ea typeface="+mn-ea"/>
              <a:cs typeface="+mn-cs"/>
            </a:rPr>
            <a:t>http://exceltemplate.net/sports/euro-2016-schedule-and-scoresheet/</a:t>
          </a:r>
          <a:endParaRPr lang="en-US">
            <a:effectLst/>
          </a:endParaRPr>
        </a:p>
        <a:p>
          <a:endParaRPr lang="en-US" sz="1100"/>
        </a:p>
      </xdr:txBody>
    </xdr:sp>
    <xdr:clientData/>
  </xdr:twoCellAnchor>
  <xdr:twoCellAnchor>
    <xdr:from>
      <xdr:col>0</xdr:col>
      <xdr:colOff>213360</xdr:colOff>
      <xdr:row>6</xdr:row>
      <xdr:rowOff>190500</xdr:rowOff>
    </xdr:from>
    <xdr:to>
      <xdr:col>25</xdr:col>
      <xdr:colOff>99060</xdr:colOff>
      <xdr:row>8</xdr:row>
      <xdr:rowOff>30480</xdr:rowOff>
    </xdr:to>
    <xdr:sp macro="" textlink="">
      <xdr:nvSpPr>
        <xdr:cNvPr id="3" name="TextBox 2"/>
        <xdr:cNvSpPr txBox="1"/>
      </xdr:nvSpPr>
      <xdr:spPr>
        <a:xfrm>
          <a:off x="213360" y="1905000"/>
          <a:ext cx="6172200" cy="6019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dk1"/>
              </a:solidFill>
              <a:effectLst/>
              <a:latin typeface="+mn-lt"/>
              <a:ea typeface="+mn-ea"/>
              <a:cs typeface="+mn-cs"/>
            </a:rPr>
            <a:t>Below are several of my sport</a:t>
          </a:r>
          <a:r>
            <a:rPr lang="en-US" sz="1100" b="0" baseline="0">
              <a:solidFill>
                <a:schemeClr val="dk1"/>
              </a:solidFill>
              <a:effectLst/>
              <a:latin typeface="+mn-lt"/>
              <a:ea typeface="+mn-ea"/>
              <a:cs typeface="+mn-cs"/>
            </a:rPr>
            <a:t> templates that you might need. You can download or purchase where you can learn the formula, create your own competition or modify its layout to meet your own requirement</a:t>
          </a:r>
          <a:endParaRPr lang="en-US" sz="1100"/>
        </a:p>
      </xdr:txBody>
    </xdr:sp>
    <xdr:clientData/>
  </xdr:twoCellAnchor>
  <xdr:oneCellAnchor>
    <xdr:from>
      <xdr:col>20</xdr:col>
      <xdr:colOff>161926</xdr:colOff>
      <xdr:row>36</xdr:row>
      <xdr:rowOff>58197</xdr:rowOff>
    </xdr:from>
    <xdr:ext cx="914400" cy="320040"/>
    <xdr:pic>
      <xdr:nvPicPr>
        <xdr:cNvPr id="9" name="Picture 8">
          <a:hlinkClick xmlns:r="http://schemas.openxmlformats.org/officeDocument/2006/relationships" r:id="rId1"/>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91126" y="9583197"/>
          <a:ext cx="914400" cy="320040"/>
        </a:xfrm>
        <a:prstGeom prst="rect">
          <a:avLst/>
        </a:prstGeom>
      </xdr:spPr>
    </xdr:pic>
    <xdr:clientData/>
  </xdr:oneCellAnchor>
  <xdr:oneCellAnchor>
    <xdr:from>
      <xdr:col>20</xdr:col>
      <xdr:colOff>167640</xdr:colOff>
      <xdr:row>38</xdr:row>
      <xdr:rowOff>45720</xdr:rowOff>
    </xdr:from>
    <xdr:ext cx="914400" cy="320040"/>
    <xdr:pic>
      <xdr:nvPicPr>
        <xdr:cNvPr id="10" name="Picture 9">
          <a:hlinkClick xmlns:r="http://schemas.openxmlformats.org/officeDocument/2006/relationships" r:id="rId3"/>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96840" y="9951720"/>
          <a:ext cx="914400" cy="320040"/>
        </a:xfrm>
        <a:prstGeom prst="rect">
          <a:avLst/>
        </a:prstGeom>
      </xdr:spPr>
    </xdr:pic>
    <xdr:clientData/>
  </xdr:oneCellAnchor>
  <xdr:oneCellAnchor>
    <xdr:from>
      <xdr:col>45</xdr:col>
      <xdr:colOff>198120</xdr:colOff>
      <xdr:row>36</xdr:row>
      <xdr:rowOff>45720</xdr:rowOff>
    </xdr:from>
    <xdr:ext cx="914400" cy="320040"/>
    <xdr:pic>
      <xdr:nvPicPr>
        <xdr:cNvPr id="11" name="Picture 10">
          <a:hlinkClick xmlns:r="http://schemas.openxmlformats.org/officeDocument/2006/relationships" r:id="rId4"/>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513820" y="9570720"/>
          <a:ext cx="914400" cy="320040"/>
        </a:xfrm>
        <a:prstGeom prst="rect">
          <a:avLst/>
        </a:prstGeom>
      </xdr:spPr>
    </xdr:pic>
    <xdr:clientData/>
  </xdr:oneCellAnchor>
  <xdr:oneCellAnchor>
    <xdr:from>
      <xdr:col>45</xdr:col>
      <xdr:colOff>190500</xdr:colOff>
      <xdr:row>21</xdr:row>
      <xdr:rowOff>45719</xdr:rowOff>
    </xdr:from>
    <xdr:ext cx="914400" cy="322252"/>
    <xdr:pic>
      <xdr:nvPicPr>
        <xdr:cNvPr id="15" name="Picture 14">
          <a:hlinkClick xmlns:r="http://schemas.openxmlformats.org/officeDocument/2006/relationships" r:id="rId5"/>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506200" y="4998719"/>
          <a:ext cx="914400" cy="322252"/>
        </a:xfrm>
        <a:prstGeom prst="rect">
          <a:avLst/>
        </a:prstGeom>
      </xdr:spPr>
    </xdr:pic>
    <xdr:clientData/>
  </xdr:oneCellAnchor>
  <xdr:oneCellAnchor>
    <xdr:from>
      <xdr:col>20</xdr:col>
      <xdr:colOff>190500</xdr:colOff>
      <xdr:row>28</xdr:row>
      <xdr:rowOff>38099</xdr:rowOff>
    </xdr:from>
    <xdr:ext cx="914400" cy="322252"/>
    <xdr:pic>
      <xdr:nvPicPr>
        <xdr:cNvPr id="18" name="Picture 17">
          <a:hlinkClick xmlns:r="http://schemas.openxmlformats.org/officeDocument/2006/relationships" r:id="rId6"/>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219700" y="7010399"/>
          <a:ext cx="914400" cy="322252"/>
        </a:xfrm>
        <a:prstGeom prst="rect">
          <a:avLst/>
        </a:prstGeom>
      </xdr:spPr>
    </xdr:pic>
    <xdr:clientData/>
  </xdr:oneCellAnchor>
  <xdr:oneCellAnchor>
    <xdr:from>
      <xdr:col>45</xdr:col>
      <xdr:colOff>144780</xdr:colOff>
      <xdr:row>28</xdr:row>
      <xdr:rowOff>30479</xdr:rowOff>
    </xdr:from>
    <xdr:ext cx="914400" cy="322252"/>
    <xdr:pic>
      <xdr:nvPicPr>
        <xdr:cNvPr id="19" name="Picture 18">
          <a:hlinkClick xmlns:r="http://schemas.openxmlformats.org/officeDocument/2006/relationships" r:id="rId7"/>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60480" y="7002779"/>
          <a:ext cx="914400" cy="322252"/>
        </a:xfrm>
        <a:prstGeom prst="rect">
          <a:avLst/>
        </a:prstGeom>
      </xdr:spPr>
    </xdr:pic>
    <xdr:clientData/>
  </xdr:oneCellAnchor>
  <xdr:oneCellAnchor>
    <xdr:from>
      <xdr:col>20</xdr:col>
      <xdr:colOff>205740</xdr:colOff>
      <xdr:row>21</xdr:row>
      <xdr:rowOff>38100</xdr:rowOff>
    </xdr:from>
    <xdr:ext cx="914400" cy="322252"/>
    <xdr:pic>
      <xdr:nvPicPr>
        <xdr:cNvPr id="12" name="Picture 11">
          <a:hlinkClick xmlns:r="http://schemas.openxmlformats.org/officeDocument/2006/relationships" r:id="rId8"/>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234940" y="6324600"/>
          <a:ext cx="914400" cy="322252"/>
        </a:xfrm>
        <a:prstGeom prst="rect">
          <a:avLst/>
        </a:prstGeom>
      </xdr:spPr>
    </xdr:pic>
    <xdr:clientData/>
  </xdr:oneCellAnchor>
  <xdr:oneCellAnchor>
    <xdr:from>
      <xdr:col>20</xdr:col>
      <xdr:colOff>205740</xdr:colOff>
      <xdr:row>14</xdr:row>
      <xdr:rowOff>38100</xdr:rowOff>
    </xdr:from>
    <xdr:ext cx="914400" cy="322252"/>
    <xdr:pic>
      <xdr:nvPicPr>
        <xdr:cNvPr id="13" name="Picture 12">
          <a:hlinkClick xmlns:r="http://schemas.openxmlformats.org/officeDocument/2006/relationships" r:id="rId9"/>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234940" y="4229100"/>
          <a:ext cx="914400" cy="322252"/>
        </a:xfrm>
        <a:prstGeom prst="rect">
          <a:avLst/>
        </a:prstGeom>
      </xdr:spPr>
    </xdr:pic>
    <xdr:clientData/>
  </xdr:oneCellAnchor>
  <xdr:oneCellAnchor>
    <xdr:from>
      <xdr:col>45</xdr:col>
      <xdr:colOff>190500</xdr:colOff>
      <xdr:row>14</xdr:row>
      <xdr:rowOff>38100</xdr:rowOff>
    </xdr:from>
    <xdr:ext cx="914400" cy="322252"/>
    <xdr:pic>
      <xdr:nvPicPr>
        <xdr:cNvPr id="14" name="Picture 13">
          <a:hlinkClick xmlns:r="http://schemas.openxmlformats.org/officeDocument/2006/relationships" r:id="rId10"/>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506200" y="4229100"/>
          <a:ext cx="914400" cy="322252"/>
        </a:xfrm>
        <a:prstGeom prst="rect">
          <a:avLst/>
        </a:prstGeom>
      </xdr:spPr>
    </xdr:pic>
    <xdr:clientData/>
  </xdr:oneCellAnchor>
  <xdr:oneCellAnchor>
    <xdr:from>
      <xdr:col>45</xdr:col>
      <xdr:colOff>190500</xdr:colOff>
      <xdr:row>6</xdr:row>
      <xdr:rowOff>38100</xdr:rowOff>
    </xdr:from>
    <xdr:ext cx="914400" cy="322252"/>
    <xdr:pic>
      <xdr:nvPicPr>
        <xdr:cNvPr id="16" name="Picture 15">
          <a:hlinkClick xmlns:r="http://schemas.openxmlformats.org/officeDocument/2006/relationships" r:id="rId11"/>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506200" y="1752600"/>
          <a:ext cx="914400" cy="322252"/>
        </a:xfrm>
        <a:prstGeom prst="rect">
          <a:avLst/>
        </a:prstGeom>
      </xdr:spPr>
    </xdr:pic>
    <xdr:clientData/>
  </xdr:oneCellAnchor>
  <xdr:oneCellAnchor>
    <xdr:from>
      <xdr:col>45</xdr:col>
      <xdr:colOff>190500</xdr:colOff>
      <xdr:row>7</xdr:row>
      <xdr:rowOff>38100</xdr:rowOff>
    </xdr:from>
    <xdr:ext cx="914400" cy="322252"/>
    <xdr:pic>
      <xdr:nvPicPr>
        <xdr:cNvPr id="17" name="Picture 16">
          <a:hlinkClick xmlns:r="http://schemas.openxmlformats.org/officeDocument/2006/relationships" r:id="rId12"/>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506200" y="2133600"/>
          <a:ext cx="914400" cy="322252"/>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1</xdr:col>
      <xdr:colOff>38100</xdr:colOff>
      <xdr:row>1</xdr:row>
      <xdr:rowOff>91440</xdr:rowOff>
    </xdr:from>
    <xdr:to>
      <xdr:col>14</xdr:col>
      <xdr:colOff>259080</xdr:colOff>
      <xdr:row>81</xdr:row>
      <xdr:rowOff>144780</xdr:rowOff>
    </xdr:to>
    <xdr:sp macro="" textlink="">
      <xdr:nvSpPr>
        <xdr:cNvPr id="2" name="TextBox 1"/>
        <xdr:cNvSpPr txBox="1"/>
      </xdr:nvSpPr>
      <xdr:spPr>
        <a:xfrm>
          <a:off x="647700" y="259080"/>
          <a:ext cx="8145780" cy="13464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SINGLE USER LICENSE AGREEMENT</a:t>
          </a:r>
        </a:p>
        <a:p>
          <a:endParaRPr lang="en-US" sz="1100"/>
        </a:p>
        <a:p>
          <a:r>
            <a:rPr lang="en-US" sz="1100" b="1"/>
            <a:t>IMPORTANT. PLEASE READ THE TERMS AND CONDITIONS OF THIS LICENSE AGREEMENT CAREFULLY BEFORE USING THIS SOFTWARE</a:t>
          </a:r>
        </a:p>
        <a:p>
          <a:r>
            <a:rPr lang="en-US" sz="1100"/>
            <a:t>This is a legal agreement between you (either an individual or a single entity) and EXCELTEMPLATE.NET for the EURO 2016 SCHEDULE AND SCORESHEET identified above which may include associated software components, media, printed materials, and "online" or electronic documentation ("EURO 2016 SCHEDULE AND SCORESHEET"). By installing, copying, or otherwise using the EURO 2016 SCHEDULE AND SCORESHEET, you agree to be bound by the terms of this agreement. This license agreement represents the entire agreement concerning the program between you and EXCELTEMPLATE.NET, (referred to as "licenser"), and it supersedes any prior proposal, representation, or understanding between the parties. If you do not agree to the terms of this agreement, do not install or use the EURO 2016 SCHEDULE AND SCORESHEET.</a:t>
          </a:r>
        </a:p>
        <a:p>
          <a:endParaRPr lang="en-US" sz="1100"/>
        </a:p>
        <a:p>
          <a:r>
            <a:rPr lang="en-US" sz="1100"/>
            <a:t>The EURO 2016 SCHEDULE AND SCORESHEET is protected by copyright laws and international copyright treaties, as well as other intellectual property laws and treaties. The EURO 2016 SCHEDULE AND SCORESHEET is licensed, not sold.</a:t>
          </a:r>
        </a:p>
        <a:p>
          <a:endParaRPr lang="en-US" sz="1100"/>
        </a:p>
        <a:p>
          <a:r>
            <a:rPr lang="en-US" sz="1100" b="1"/>
            <a:t>1. GRANT OF LICENSE TO A SINGLE USER.</a:t>
          </a:r>
        </a:p>
        <a:p>
          <a:r>
            <a:rPr lang="en-US" sz="1100"/>
            <a:t>The EURO 2016 SCHEDULE AND SCORESHEET is licensed as follows:</a:t>
          </a:r>
        </a:p>
        <a:p>
          <a:r>
            <a:rPr lang="en-US" sz="1100"/>
            <a:t>(a) Installation and Use.</a:t>
          </a:r>
        </a:p>
        <a:p>
          <a:r>
            <a:rPr lang="en-US" sz="1100"/>
            <a:t>EXCELTEMPLATE.NET grants you the right to install and use copies of the EURO 2016 SCHEDULE AND SCORESHEET on your own computer running validly licensed copies of the office suite [Microsoft Excel 2007, Microsoft Excel 2010, Microsoft Excel 2013) and Windows operating system [Windows NT, Windows 98, Windows 2000, Windows 2003, Windows XP, Windows ME, Windows Vista, Windows 7, Windows 8] for which the EURO 2016 SCHEDULE AND SCORESHEET was designed.</a:t>
          </a:r>
        </a:p>
        <a:p>
          <a:r>
            <a:rPr lang="en-US" sz="1100"/>
            <a:t>(b) Backup Copies.</a:t>
          </a:r>
        </a:p>
        <a:p>
          <a:r>
            <a:rPr lang="en-US" sz="1100"/>
            <a:t>You may also make copies of the EURO 2016 SCHEDULE AND SCORESHEET as may be necessary for backup and archival purposes.</a:t>
          </a:r>
        </a:p>
        <a:p>
          <a:endParaRPr lang="en-US" sz="1100"/>
        </a:p>
        <a:p>
          <a:r>
            <a:rPr lang="en-US" sz="1100" b="1"/>
            <a:t>2. DESCRIPTION OF OTHER RIGHTS AND LIMITATIONS.</a:t>
          </a:r>
        </a:p>
        <a:p>
          <a:r>
            <a:rPr lang="en-US" sz="1100"/>
            <a:t>(a) Maintenance of Copyright Notices.</a:t>
          </a:r>
        </a:p>
        <a:p>
          <a:r>
            <a:rPr lang="en-US" sz="1100"/>
            <a:t>You must not remove or alter any copyright notices on any and all copies of the EURO 2016 SCHEDULE AND SCORESHEET.</a:t>
          </a:r>
        </a:p>
        <a:p>
          <a:r>
            <a:rPr lang="en-US" sz="1100"/>
            <a:t>(b) Distribution.</a:t>
          </a:r>
        </a:p>
        <a:p>
          <a:r>
            <a:rPr lang="en-US" sz="1100"/>
            <a:t>You may not distribute registered copies of the EURO 2016 SCHEDULE AND SCORESHEET to third parties. The customized version may be used and shared within your company, but it may NOT be sold, distributed, or placed on a public server which could be accessed through internet without permission. Evaluation versions available for download from EXCELTEMPLATE.NET's websites may be freely distributed.</a:t>
          </a:r>
        </a:p>
        <a:p>
          <a:r>
            <a:rPr lang="en-US" sz="1100"/>
            <a:t>(c) Prohibition on Reverse Engineering, Decompilation, and Disassembly.</a:t>
          </a:r>
        </a:p>
        <a:p>
          <a:r>
            <a:rPr lang="en-US" sz="1100"/>
            <a:t>You may not reverse engineer, decompile, or disassemble the EURO 2016 SCHEDULE AND SCORESHEET, except and only to the extent that such activity is expressly permitted by applicable law notwithstanding this limitation.</a:t>
          </a:r>
        </a:p>
        <a:p>
          <a:r>
            <a:rPr lang="en-US" sz="1100"/>
            <a:t>(d) Rental.</a:t>
          </a:r>
        </a:p>
        <a:p>
          <a:r>
            <a:rPr lang="en-US" sz="1100"/>
            <a:t>You may not rent, lease, or lend the EURO 2016 SCHEDULE AND SCORESHEET.</a:t>
          </a:r>
        </a:p>
        <a:p>
          <a:r>
            <a:rPr lang="en-US" sz="1100"/>
            <a:t>(e) Support Services.</a:t>
          </a:r>
        </a:p>
        <a:p>
          <a:r>
            <a:rPr lang="en-US" sz="1100"/>
            <a:t>EXCELTEMPLATE.NET may provide you with support services related to the EURO 2016 SCHEDULE AND SCORESHEET ("Support Services"). Any supplemental software code provided to you as part of the Support Services shall be considered part of the EURO 2016 SCHEDULE AND SCORESHEET and subject to the terms and conditions of this agreement.</a:t>
          </a:r>
        </a:p>
        <a:p>
          <a:r>
            <a:rPr lang="en-US" sz="1100"/>
            <a:t>(f) Compliance with Applicable Laws.</a:t>
          </a:r>
        </a:p>
        <a:p>
          <a:r>
            <a:rPr lang="en-US" sz="1100"/>
            <a:t>Some countries and their authorities required any third parties to apply for licenses to duplicate their competition/tournament. You must comply with those requirements and all applicable laws regarding use of the EURO 2016 SCHEDULE AND SCORESHEET.</a:t>
          </a:r>
        </a:p>
        <a:p>
          <a:endParaRPr lang="en-US" sz="1100"/>
        </a:p>
        <a:p>
          <a:r>
            <a:rPr lang="en-US" sz="1100" b="1"/>
            <a:t>3. TERMINATION</a:t>
          </a:r>
        </a:p>
        <a:p>
          <a:r>
            <a:rPr lang="en-US" sz="1100"/>
            <a:t>Without prejudice to any other rights, EXCELTEMPLATE.NET may terminate this agreement if you fail to comply with the terms and conditions of this agreement. In such event, you must destroy all copies of the EURO 2016 SCHEDULE AND SCORESHEET in your possession.</a:t>
          </a:r>
        </a:p>
        <a:p>
          <a:endParaRPr lang="en-US" sz="1100"/>
        </a:p>
        <a:p>
          <a:r>
            <a:rPr lang="en-US" sz="1100" b="1"/>
            <a:t>4. COPYRIGHT</a:t>
          </a:r>
        </a:p>
        <a:p>
          <a:r>
            <a:rPr lang="en-US" sz="1100"/>
            <a:t>All title, including but not limited to copyrights, in and to the EURO 2016 SCHEDULE AND SCORESHEET and any copies thereof are owned by EXCELTEMPLATE.NET or its suppliers. All title and intellectual property rights in and to the content which may be accessed through use of the EURO 2016 SCHEDULE AND SCORESHEET is the property of the respective content owner and may be protected by applicable copyright or other intellectual property laws and treaties. This agreement grants you no rights to use such content. All rights not expressly granted are reserved by EXCELTEMPLATE.NET.</a:t>
          </a:r>
        </a:p>
        <a:p>
          <a:endParaRPr lang="en-US" sz="1100"/>
        </a:p>
        <a:p>
          <a:r>
            <a:rPr lang="en-US" sz="1100" b="1"/>
            <a:t>5. NO WARRANTIES</a:t>
          </a:r>
        </a:p>
        <a:p>
          <a:r>
            <a:rPr lang="en-US" sz="1100"/>
            <a:t>EXCELTEMPLATE.NET expressly disclaims any warranty for the EURO 2016 SCHEDULE AND SCORESHEET. The EURO 2016 SCHEDULE AND SCORESHEET is provided 'As Is' without any express or implied warranty of any kind, including but not limited to any warranties of merchantability, noninfringement, or fitness of a particular purpose. EXCELTEMPLATE.NET does not warrant or assume responsibility for the accuracy or completeness of any information, text, graphics, links or other items contained within the EURO 2016 SCHEDULE AND SCORESHEET. EXCELTEMPLATE.NET makes no warranties respecting any harm that may be caused by the transmission of a computer virus, worm, time bomb, logic bomb, or other such computer program. EXCELTEMPLATE.NET further expressly disclaims any warranty or representation to Authorized Users or to any third party.</a:t>
          </a:r>
        </a:p>
        <a:p>
          <a:endParaRPr lang="en-US" sz="1100"/>
        </a:p>
        <a:p>
          <a:r>
            <a:rPr lang="en-US" sz="1100" b="1"/>
            <a:t>6. LIMITATION OF LIABILITY</a:t>
          </a:r>
        </a:p>
        <a:p>
          <a:r>
            <a:rPr lang="en-US" sz="1100"/>
            <a:t>In no event shall EXCELTEMPLATE.NET be liable for any damages (including, without limitation, lost profits, business interruption, or lost information) rising out of 'Authorized Users' use of or inability to use the EURO 2016 SCHEDULE AND SCORESHEET, even if EXCELTEMPLATE.NET has been advised of the possibility of such damages. In no event will EXCELTEMPLATE.NET be liable for loss of data or for indirect, special, incidental, consequential (including lost profit), or other damages based in contract, tort or otherwise. EXCELTEMPLATE.NET shall have no liability with respect to the content of the EURO 2016 SCHEDULE AND SCORESHEET or any part thereof, including but not limited to errors or omissions contained therein, libel, infringements of rights of publicity, privacy, trademark rights, business interruption, personal injury, loss of privacy, moral rights or the disclosure of confidential information.</a:t>
          </a:r>
        </a:p>
        <a:p>
          <a:endParaRPr lang="en-US" sz="1100"/>
        </a:p>
        <a:p>
          <a:r>
            <a:rPr lang="en-US" sz="1100"/>
            <a:t>Developers are responsible for the content of their agreement and this should only be used as a guide.</a:t>
          </a:r>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exceltemplate.net/" TargetMode="External"/><Relationship Id="rId1" Type="http://schemas.openxmlformats.org/officeDocument/2006/relationships/hyperlink" Target="http://www.exceltemplate.net/"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8" Type="http://schemas.openxmlformats.org/officeDocument/2006/relationships/hyperlink" Target="http://exceltemplate.net/sports/euro-2016-schedule-and-scoresheet/" TargetMode="External"/><Relationship Id="rId13" Type="http://schemas.openxmlformats.org/officeDocument/2006/relationships/drawing" Target="../drawings/drawing3.xml"/><Relationship Id="rId3" Type="http://schemas.openxmlformats.org/officeDocument/2006/relationships/hyperlink" Target="http://exceltemplate.net/download/100/" TargetMode="External"/><Relationship Id="rId7" Type="http://schemas.openxmlformats.org/officeDocument/2006/relationships/hyperlink" Target="http://exceltemplate.net/sports/single-and-double-elimination-tournament-bracket-creator/" TargetMode="External"/><Relationship Id="rId12" Type="http://schemas.openxmlformats.org/officeDocument/2006/relationships/printerSettings" Target="../printerSettings/printerSettings5.bin"/><Relationship Id="rId2" Type="http://schemas.openxmlformats.org/officeDocument/2006/relationships/hyperlink" Target="http://exceltemplate.net/download/75/" TargetMode="External"/><Relationship Id="rId1" Type="http://schemas.openxmlformats.org/officeDocument/2006/relationships/hyperlink" Target="http://exceltemplate.net/download/74/" TargetMode="External"/><Relationship Id="rId6" Type="http://schemas.openxmlformats.org/officeDocument/2006/relationships/hyperlink" Target="http://exceltemplate.net/sports/match-scheduler-and-fixture-generator-for-sport-league-competition/" TargetMode="External"/><Relationship Id="rId11" Type="http://schemas.openxmlformats.org/officeDocument/2006/relationships/hyperlink" Target="http://exceltemplate.net/sports/soccer-team-stats-tracker/" TargetMode="External"/><Relationship Id="rId5" Type="http://schemas.openxmlformats.org/officeDocument/2006/relationships/hyperlink" Target="http://exceltemplate.net/sfg_liteV28" TargetMode="External"/><Relationship Id="rId10" Type="http://schemas.openxmlformats.org/officeDocument/2006/relationships/hyperlink" Target="http://exceltemplate.net/sports/euro-2016-office-pool/" TargetMode="External"/><Relationship Id="rId4" Type="http://schemas.openxmlformats.org/officeDocument/2006/relationships/hyperlink" Target="http://exceltemplate.net/download/101/" TargetMode="External"/><Relationship Id="rId9" Type="http://schemas.openxmlformats.org/officeDocument/2006/relationships/hyperlink" Target="http://exceltemplate.net/sports/euro-2016-schedule-and-scoresheet/"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32"/>
  <sheetViews>
    <sheetView showGridLines="0" workbookViewId="0">
      <selection activeCell="F102" sqref="F102"/>
    </sheetView>
  </sheetViews>
  <sheetFormatPr baseColWidth="10" defaultColWidth="9.140625" defaultRowHeight="12.75" x14ac:dyDescent="0.2"/>
  <cols>
    <col min="1" max="1" width="4" style="181" bestFit="1" customWidth="1"/>
    <col min="2" max="2" width="15" style="181" customWidth="1"/>
    <col min="3" max="9" width="12.7109375" style="181" customWidth="1"/>
    <col min="10" max="10" width="9.140625" style="181"/>
    <col min="11" max="11" width="9.140625" style="182"/>
    <col min="12" max="16384" width="9.140625" style="181"/>
  </cols>
  <sheetData>
    <row r="1" spans="1:49" x14ac:dyDescent="0.2">
      <c r="A1" s="181">
        <v>1</v>
      </c>
      <c r="B1" s="181" t="s">
        <v>338</v>
      </c>
      <c r="C1" s="181" t="s">
        <v>465</v>
      </c>
      <c r="D1" s="181" t="s">
        <v>466</v>
      </c>
      <c r="E1" s="181" t="s">
        <v>467</v>
      </c>
      <c r="F1" s="181" t="s">
        <v>468</v>
      </c>
      <c r="G1" s="181" t="s">
        <v>3840</v>
      </c>
      <c r="H1" s="181" t="s">
        <v>469</v>
      </c>
      <c r="I1" s="181" t="s">
        <v>470</v>
      </c>
      <c r="J1" s="182" t="s">
        <v>471</v>
      </c>
      <c r="K1" s="182" t="s">
        <v>3841</v>
      </c>
      <c r="L1" s="181" t="s">
        <v>472</v>
      </c>
      <c r="M1" s="182" t="s">
        <v>473</v>
      </c>
      <c r="N1" s="181" t="s">
        <v>339</v>
      </c>
      <c r="O1" s="181" t="s">
        <v>340</v>
      </c>
      <c r="P1" s="181" t="s">
        <v>474</v>
      </c>
      <c r="Q1" s="181" t="s">
        <v>341</v>
      </c>
      <c r="R1" s="181" t="s">
        <v>475</v>
      </c>
      <c r="S1" s="181" t="s">
        <v>342</v>
      </c>
      <c r="T1" s="181" t="s">
        <v>476</v>
      </c>
      <c r="U1" s="181" t="s">
        <v>477</v>
      </c>
      <c r="V1" s="181" t="s">
        <v>3899</v>
      </c>
      <c r="W1" s="181" t="s">
        <v>478</v>
      </c>
      <c r="X1" s="181" t="s">
        <v>479</v>
      </c>
      <c r="Y1" s="181" t="s">
        <v>480</v>
      </c>
      <c r="Z1" s="181" t="s">
        <v>343</v>
      </c>
      <c r="AA1" s="181" t="s">
        <v>481</v>
      </c>
      <c r="AB1" s="181" t="s">
        <v>482</v>
      </c>
      <c r="AC1" s="181" t="s">
        <v>483</v>
      </c>
      <c r="AD1" s="181" t="s">
        <v>484</v>
      </c>
      <c r="AE1" s="181" t="s">
        <v>485</v>
      </c>
      <c r="AF1" s="181" t="s">
        <v>486</v>
      </c>
      <c r="AG1" s="181" t="s">
        <v>487</v>
      </c>
      <c r="AH1" s="181" t="s">
        <v>488</v>
      </c>
      <c r="AI1" s="181" t="s">
        <v>489</v>
      </c>
      <c r="AJ1" s="181" t="s">
        <v>490</v>
      </c>
      <c r="AK1" s="181" t="s">
        <v>2966</v>
      </c>
      <c r="AL1" s="181" t="s">
        <v>491</v>
      </c>
      <c r="AM1" s="181" t="s">
        <v>492</v>
      </c>
      <c r="AN1" s="181" t="s">
        <v>493</v>
      </c>
      <c r="AO1" s="181" t="s">
        <v>494</v>
      </c>
      <c r="AP1" s="181" t="s">
        <v>495</v>
      </c>
      <c r="AQ1" s="181" t="s">
        <v>344</v>
      </c>
      <c r="AR1" s="181" t="s">
        <v>496</v>
      </c>
      <c r="AS1" s="181" t="s">
        <v>497</v>
      </c>
      <c r="AT1" s="181" t="s">
        <v>498</v>
      </c>
      <c r="AU1" s="181" t="s">
        <v>499</v>
      </c>
      <c r="AV1" s="181" t="s">
        <v>500</v>
      </c>
      <c r="AW1" s="181" t="str">
        <f>IF('Custom Language and Timezone'!E7&lt;&gt;"",'Custom Language and Timezone'!E7,"New Language")</f>
        <v>NEW LANGUAGE</v>
      </c>
    </row>
    <row r="2" spans="1:49" x14ac:dyDescent="0.2">
      <c r="A2" s="181">
        <v>1</v>
      </c>
      <c r="B2" s="181">
        <v>2</v>
      </c>
      <c r="C2" s="181">
        <v>3</v>
      </c>
      <c r="D2" s="181">
        <v>4</v>
      </c>
      <c r="E2" s="181">
        <v>5</v>
      </c>
      <c r="F2" s="181">
        <v>6</v>
      </c>
      <c r="G2" s="181">
        <v>7</v>
      </c>
      <c r="H2" s="181">
        <v>8</v>
      </c>
      <c r="I2" s="181">
        <v>9</v>
      </c>
      <c r="J2" s="181">
        <v>10</v>
      </c>
      <c r="K2" s="181">
        <v>11</v>
      </c>
      <c r="L2" s="181">
        <v>12</v>
      </c>
      <c r="M2" s="181">
        <v>13</v>
      </c>
      <c r="N2" s="181">
        <v>14</v>
      </c>
      <c r="O2" s="181">
        <v>15</v>
      </c>
      <c r="P2" s="181">
        <v>16</v>
      </c>
      <c r="Q2" s="181">
        <v>17</v>
      </c>
      <c r="R2" s="181">
        <v>18</v>
      </c>
      <c r="S2" s="181">
        <v>19</v>
      </c>
      <c r="T2" s="181">
        <v>20</v>
      </c>
      <c r="U2" s="181">
        <v>21</v>
      </c>
      <c r="V2" s="181">
        <v>22</v>
      </c>
      <c r="W2" s="181">
        <v>23</v>
      </c>
      <c r="X2" s="181">
        <v>24</v>
      </c>
      <c r="Y2" s="181">
        <v>25</v>
      </c>
      <c r="Z2" s="181">
        <v>26</v>
      </c>
      <c r="AA2" s="181">
        <v>27</v>
      </c>
      <c r="AB2" s="181">
        <v>28</v>
      </c>
      <c r="AC2" s="181">
        <v>29</v>
      </c>
      <c r="AD2" s="181">
        <v>30</v>
      </c>
      <c r="AE2" s="181">
        <v>31</v>
      </c>
      <c r="AF2" s="181">
        <v>32</v>
      </c>
      <c r="AG2" s="181">
        <v>33</v>
      </c>
      <c r="AH2" s="181">
        <v>34</v>
      </c>
      <c r="AI2" s="181">
        <v>35</v>
      </c>
      <c r="AJ2" s="181">
        <v>36</v>
      </c>
      <c r="AK2" s="181">
        <v>37</v>
      </c>
      <c r="AL2" s="181">
        <v>38</v>
      </c>
      <c r="AM2" s="181">
        <v>39</v>
      </c>
      <c r="AN2" s="181">
        <v>40</v>
      </c>
      <c r="AO2" s="181">
        <v>41</v>
      </c>
      <c r="AP2" s="181">
        <v>42</v>
      </c>
      <c r="AQ2" s="181">
        <v>43</v>
      </c>
      <c r="AR2" s="181">
        <v>44</v>
      </c>
      <c r="AS2" s="181">
        <v>45</v>
      </c>
      <c r="AT2" s="181">
        <v>46</v>
      </c>
      <c r="AU2" s="181">
        <v>47</v>
      </c>
      <c r="AV2" s="181">
        <v>48</v>
      </c>
      <c r="AW2" s="181">
        <v>49</v>
      </c>
    </row>
    <row r="3" spans="1:49" x14ac:dyDescent="0.2">
      <c r="A3" s="181">
        <v>2</v>
      </c>
      <c r="B3" s="183" t="s">
        <v>18</v>
      </c>
      <c r="C3" s="181" t="s">
        <v>501</v>
      </c>
      <c r="D3" s="181" t="s">
        <v>583</v>
      </c>
      <c r="E3" s="182" t="s">
        <v>673</v>
      </c>
      <c r="F3" s="182" t="s">
        <v>766</v>
      </c>
      <c r="G3" s="177" t="s">
        <v>3765</v>
      </c>
      <c r="H3" s="177" t="s">
        <v>856</v>
      </c>
      <c r="I3" s="177" t="s">
        <v>942</v>
      </c>
      <c r="J3" s="177" t="s">
        <v>1035</v>
      </c>
      <c r="K3" s="177" t="s">
        <v>3842</v>
      </c>
      <c r="L3" s="177" t="s">
        <v>1117</v>
      </c>
      <c r="M3" s="177" t="s">
        <v>1208</v>
      </c>
      <c r="N3" s="177" t="s">
        <v>367</v>
      </c>
      <c r="O3" s="183" t="s">
        <v>18</v>
      </c>
      <c r="P3" s="177" t="s">
        <v>1322</v>
      </c>
      <c r="Q3" s="177" t="s">
        <v>18</v>
      </c>
      <c r="R3" s="177" t="s">
        <v>1478</v>
      </c>
      <c r="S3" s="177" t="s">
        <v>368</v>
      </c>
      <c r="T3" s="177" t="s">
        <v>1618</v>
      </c>
      <c r="U3" s="177" t="s">
        <v>1711</v>
      </c>
      <c r="V3" s="177" t="s">
        <v>3900</v>
      </c>
      <c r="W3" s="177" t="s">
        <v>1804</v>
      </c>
      <c r="X3" s="177" t="s">
        <v>1894</v>
      </c>
      <c r="Y3" s="177" t="s">
        <v>18</v>
      </c>
      <c r="Z3" s="177" t="s">
        <v>369</v>
      </c>
      <c r="AA3" s="177" t="s">
        <v>2076</v>
      </c>
      <c r="AB3" s="177" t="s">
        <v>2168</v>
      </c>
      <c r="AC3" s="177" t="s">
        <v>2260</v>
      </c>
      <c r="AD3" s="177" t="s">
        <v>2343</v>
      </c>
      <c r="AE3" s="177" t="s">
        <v>1894</v>
      </c>
      <c r="AF3" s="177" t="s">
        <v>2490</v>
      </c>
      <c r="AG3" s="177" t="s">
        <v>2569</v>
      </c>
      <c r="AH3" s="177" t="s">
        <v>2659</v>
      </c>
      <c r="AI3" s="177" t="s">
        <v>2707</v>
      </c>
      <c r="AJ3" s="177" t="s">
        <v>2800</v>
      </c>
      <c r="AK3" s="177" t="s">
        <v>856</v>
      </c>
      <c r="AL3" s="177" t="s">
        <v>2967</v>
      </c>
      <c r="AM3" s="177" t="s">
        <v>766</v>
      </c>
      <c r="AN3" s="177" t="s">
        <v>3106</v>
      </c>
      <c r="AO3" s="177" t="s">
        <v>3178</v>
      </c>
      <c r="AP3" s="177" t="s">
        <v>3253</v>
      </c>
      <c r="AQ3" s="177" t="s">
        <v>369</v>
      </c>
      <c r="AR3" s="177" t="s">
        <v>3364</v>
      </c>
      <c r="AS3" s="177" t="s">
        <v>3432</v>
      </c>
      <c r="AT3" s="177" t="s">
        <v>3525</v>
      </c>
      <c r="AU3" s="177" t="s">
        <v>3611</v>
      </c>
      <c r="AV3" s="177" t="s">
        <v>3695</v>
      </c>
      <c r="AW3" s="181" t="str">
        <f>IF('Custom Language and Timezone'!E9&lt;&gt;"",'Custom Language and Timezone'!E9,'Custom Language and Timezone'!C9)</f>
        <v>France</v>
      </c>
    </row>
    <row r="4" spans="1:49" x14ac:dyDescent="0.2">
      <c r="A4" s="181">
        <v>3</v>
      </c>
      <c r="B4" s="184" t="s">
        <v>57</v>
      </c>
      <c r="C4" s="185" t="s">
        <v>502</v>
      </c>
      <c r="D4" s="181" t="s">
        <v>584</v>
      </c>
      <c r="E4" s="185" t="s">
        <v>674</v>
      </c>
      <c r="F4" s="185" t="s">
        <v>767</v>
      </c>
      <c r="G4" s="177" t="s">
        <v>3766</v>
      </c>
      <c r="H4" s="177" t="s">
        <v>57</v>
      </c>
      <c r="I4" s="177" t="s">
        <v>943</v>
      </c>
      <c r="J4" s="177" t="s">
        <v>1036</v>
      </c>
      <c r="K4" s="177" t="s">
        <v>3179</v>
      </c>
      <c r="L4" s="177" t="s">
        <v>1118</v>
      </c>
      <c r="M4" s="177" t="s">
        <v>1209</v>
      </c>
      <c r="N4" s="177" t="s">
        <v>502</v>
      </c>
      <c r="O4" s="184" t="s">
        <v>57</v>
      </c>
      <c r="P4" s="177" t="s">
        <v>57</v>
      </c>
      <c r="Q4" s="177" t="s">
        <v>1405</v>
      </c>
      <c r="R4" s="177" t="s">
        <v>1479</v>
      </c>
      <c r="S4" s="177" t="s">
        <v>1564</v>
      </c>
      <c r="T4" s="177" t="s">
        <v>1619</v>
      </c>
      <c r="U4" s="177" t="s">
        <v>1712</v>
      </c>
      <c r="V4" s="177" t="s">
        <v>3901</v>
      </c>
      <c r="W4" s="177" t="s">
        <v>1805</v>
      </c>
      <c r="X4" s="177" t="s">
        <v>1895</v>
      </c>
      <c r="Y4" s="177" t="s">
        <v>57</v>
      </c>
      <c r="Z4" s="177" t="s">
        <v>57</v>
      </c>
      <c r="AA4" s="177" t="s">
        <v>2077</v>
      </c>
      <c r="AB4" s="177" t="s">
        <v>2169</v>
      </c>
      <c r="AC4" s="177" t="s">
        <v>1118</v>
      </c>
      <c r="AD4" s="177" t="s">
        <v>2344</v>
      </c>
      <c r="AE4" s="177" t="s">
        <v>57</v>
      </c>
      <c r="AF4" s="177" t="s">
        <v>2491</v>
      </c>
      <c r="AG4" s="177" t="s">
        <v>2570</v>
      </c>
      <c r="AH4" s="177" t="s">
        <v>57</v>
      </c>
      <c r="AI4" s="177" t="s">
        <v>2708</v>
      </c>
      <c r="AJ4" s="177" t="s">
        <v>2801</v>
      </c>
      <c r="AK4" s="177" t="s">
        <v>2885</v>
      </c>
      <c r="AL4" s="177" t="s">
        <v>2968</v>
      </c>
      <c r="AM4" s="177" t="s">
        <v>3031</v>
      </c>
      <c r="AN4" s="177" t="s">
        <v>3107</v>
      </c>
      <c r="AO4" s="177" t="s">
        <v>3179</v>
      </c>
      <c r="AP4" s="177" t="s">
        <v>3254</v>
      </c>
      <c r="AQ4" s="177" t="s">
        <v>1895</v>
      </c>
      <c r="AR4" s="177" t="s">
        <v>3365</v>
      </c>
      <c r="AS4" s="177" t="s">
        <v>3433</v>
      </c>
      <c r="AT4" s="177" t="s">
        <v>3526</v>
      </c>
      <c r="AU4" s="177" t="s">
        <v>3612</v>
      </c>
      <c r="AV4" s="177" t="s">
        <v>57</v>
      </c>
      <c r="AW4" s="181" t="str">
        <f>IF('Custom Language and Timezone'!E10&lt;&gt;"",'Custom Language and Timezone'!E10,'Custom Language and Timezone'!C10)</f>
        <v>Romania</v>
      </c>
    </row>
    <row r="5" spans="1:49" x14ac:dyDescent="0.2">
      <c r="A5" s="181">
        <v>4</v>
      </c>
      <c r="B5" s="181" t="s">
        <v>105</v>
      </c>
      <c r="C5" s="182" t="s">
        <v>503</v>
      </c>
      <c r="D5" s="181" t="s">
        <v>585</v>
      </c>
      <c r="E5" s="182" t="s">
        <v>675</v>
      </c>
      <c r="F5" s="182" t="s">
        <v>768</v>
      </c>
      <c r="G5" s="177" t="s">
        <v>3613</v>
      </c>
      <c r="H5" s="177" t="s">
        <v>857</v>
      </c>
      <c r="I5" s="177" t="s">
        <v>944</v>
      </c>
      <c r="J5" s="177" t="s">
        <v>1037</v>
      </c>
      <c r="K5" s="177" t="s">
        <v>3843</v>
      </c>
      <c r="L5" s="177" t="s">
        <v>1119</v>
      </c>
      <c r="M5" s="177" t="s">
        <v>1210</v>
      </c>
      <c r="N5" s="177" t="s">
        <v>503</v>
      </c>
      <c r="O5" s="181" t="s">
        <v>105</v>
      </c>
      <c r="P5" s="177" t="s">
        <v>105</v>
      </c>
      <c r="Q5" s="177" t="s">
        <v>1406</v>
      </c>
      <c r="R5" s="177" t="s">
        <v>1480</v>
      </c>
      <c r="S5" s="177" t="s">
        <v>1210</v>
      </c>
      <c r="T5" s="177" t="s">
        <v>1620</v>
      </c>
      <c r="U5" s="177" t="s">
        <v>1713</v>
      </c>
      <c r="V5" s="177" t="s">
        <v>3902</v>
      </c>
      <c r="W5" s="177" t="s">
        <v>1806</v>
      </c>
      <c r="X5" s="177" t="s">
        <v>105</v>
      </c>
      <c r="Y5" s="177" t="s">
        <v>1972</v>
      </c>
      <c r="Z5" s="177" t="s">
        <v>105</v>
      </c>
      <c r="AA5" s="177" t="s">
        <v>2078</v>
      </c>
      <c r="AB5" s="177" t="s">
        <v>2170</v>
      </c>
      <c r="AC5" s="177" t="s">
        <v>1119</v>
      </c>
      <c r="AD5" s="177" t="s">
        <v>2345</v>
      </c>
      <c r="AE5" s="177" t="s">
        <v>105</v>
      </c>
      <c r="AF5" s="177" t="s">
        <v>1119</v>
      </c>
      <c r="AG5" s="177" t="s">
        <v>2571</v>
      </c>
      <c r="AH5" s="177" t="s">
        <v>105</v>
      </c>
      <c r="AI5" s="177" t="s">
        <v>2709</v>
      </c>
      <c r="AJ5" s="177" t="s">
        <v>105</v>
      </c>
      <c r="AK5" s="177" t="s">
        <v>2886</v>
      </c>
      <c r="AL5" s="177" t="s">
        <v>105</v>
      </c>
      <c r="AM5" s="177" t="s">
        <v>768</v>
      </c>
      <c r="AN5" s="177" t="s">
        <v>2345</v>
      </c>
      <c r="AO5" s="177" t="s">
        <v>3180</v>
      </c>
      <c r="AP5" s="177" t="s">
        <v>1119</v>
      </c>
      <c r="AQ5" s="177" t="s">
        <v>105</v>
      </c>
      <c r="AR5" s="177" t="s">
        <v>3366</v>
      </c>
      <c r="AS5" s="177" t="s">
        <v>3434</v>
      </c>
      <c r="AT5" s="177" t="s">
        <v>3527</v>
      </c>
      <c r="AU5" s="177" t="s">
        <v>3613</v>
      </c>
      <c r="AV5" s="177" t="s">
        <v>105</v>
      </c>
      <c r="AW5" s="181" t="str">
        <f>IF('Custom Language and Timezone'!E11&lt;&gt;"",'Custom Language and Timezone'!E11,'Custom Language and Timezone'!C11)</f>
        <v>Albania</v>
      </c>
    </row>
    <row r="6" spans="1:49" x14ac:dyDescent="0.2">
      <c r="A6" s="181">
        <v>5</v>
      </c>
      <c r="B6" s="183" t="s">
        <v>106</v>
      </c>
      <c r="C6" s="181" t="s">
        <v>504</v>
      </c>
      <c r="D6" s="181" t="s">
        <v>586</v>
      </c>
      <c r="E6" s="182" t="s">
        <v>676</v>
      </c>
      <c r="F6" s="182" t="s">
        <v>769</v>
      </c>
      <c r="G6" s="177" t="s">
        <v>3767</v>
      </c>
      <c r="H6" s="177" t="s">
        <v>858</v>
      </c>
      <c r="I6" s="177" t="s">
        <v>945</v>
      </c>
      <c r="J6" s="177" t="s">
        <v>945</v>
      </c>
      <c r="K6" s="177" t="s">
        <v>3844</v>
      </c>
      <c r="L6" s="177" t="s">
        <v>1120</v>
      </c>
      <c r="M6" s="177" t="s">
        <v>364</v>
      </c>
      <c r="N6" s="177" t="s">
        <v>362</v>
      </c>
      <c r="O6" s="183" t="s">
        <v>106</v>
      </c>
      <c r="P6" s="177" t="s">
        <v>1323</v>
      </c>
      <c r="Q6" s="177" t="s">
        <v>363</v>
      </c>
      <c r="R6" s="177" t="s">
        <v>1481</v>
      </c>
      <c r="S6" s="177" t="s">
        <v>364</v>
      </c>
      <c r="T6" s="177" t="s">
        <v>1621</v>
      </c>
      <c r="U6" s="177" t="s">
        <v>1714</v>
      </c>
      <c r="V6" s="177" t="s">
        <v>3903</v>
      </c>
      <c r="W6" s="177" t="s">
        <v>1807</v>
      </c>
      <c r="X6" s="177" t="s">
        <v>1896</v>
      </c>
      <c r="Y6" s="177" t="s">
        <v>1973</v>
      </c>
      <c r="Z6" s="177" t="s">
        <v>365</v>
      </c>
      <c r="AA6" s="177" t="s">
        <v>2079</v>
      </c>
      <c r="AB6" s="177" t="s">
        <v>2171</v>
      </c>
      <c r="AC6" s="177" t="s">
        <v>2261</v>
      </c>
      <c r="AD6" s="177" t="s">
        <v>2346</v>
      </c>
      <c r="AE6" s="177" t="s">
        <v>106</v>
      </c>
      <c r="AF6" s="177" t="s">
        <v>2492</v>
      </c>
      <c r="AG6" s="177" t="s">
        <v>2572</v>
      </c>
      <c r="AH6" s="177" t="s">
        <v>2660</v>
      </c>
      <c r="AI6" s="177" t="s">
        <v>2710</v>
      </c>
      <c r="AJ6" s="177" t="s">
        <v>2802</v>
      </c>
      <c r="AK6" s="177" t="s">
        <v>2887</v>
      </c>
      <c r="AL6" s="177" t="s">
        <v>2969</v>
      </c>
      <c r="AM6" s="177" t="s">
        <v>769</v>
      </c>
      <c r="AN6" s="177" t="s">
        <v>3108</v>
      </c>
      <c r="AO6" s="177" t="s">
        <v>3181</v>
      </c>
      <c r="AP6" s="177" t="s">
        <v>3255</v>
      </c>
      <c r="AQ6" s="177" t="s">
        <v>366</v>
      </c>
      <c r="AR6" s="177" t="s">
        <v>3367</v>
      </c>
      <c r="AS6" s="177" t="s">
        <v>3435</v>
      </c>
      <c r="AT6" s="177" t="s">
        <v>3528</v>
      </c>
      <c r="AU6" s="177" t="s">
        <v>3614</v>
      </c>
      <c r="AV6" s="177" t="s">
        <v>3696</v>
      </c>
      <c r="AW6" s="181" t="str">
        <f>IF('Custom Language and Timezone'!E12&lt;&gt;"",'Custom Language and Timezone'!E12,'Custom Language and Timezone'!C12)</f>
        <v>Switzerland</v>
      </c>
    </row>
    <row r="7" spans="1:49" x14ac:dyDescent="0.2">
      <c r="A7" s="181">
        <v>6</v>
      </c>
      <c r="B7" s="183" t="s">
        <v>4</v>
      </c>
      <c r="C7" s="181" t="s">
        <v>354</v>
      </c>
      <c r="D7" s="181" t="s">
        <v>587</v>
      </c>
      <c r="E7" s="182" t="s">
        <v>677</v>
      </c>
      <c r="F7" s="182" t="s">
        <v>770</v>
      </c>
      <c r="G7" s="177" t="s">
        <v>3615</v>
      </c>
      <c r="H7" s="177" t="s">
        <v>859</v>
      </c>
      <c r="I7" s="177" t="s">
        <v>946</v>
      </c>
      <c r="J7" s="177" t="s">
        <v>1038</v>
      </c>
      <c r="K7" s="177" t="s">
        <v>3845</v>
      </c>
      <c r="L7" s="177" t="s">
        <v>1121</v>
      </c>
      <c r="M7" s="177" t="s">
        <v>4</v>
      </c>
      <c r="N7" s="177" t="s">
        <v>354</v>
      </c>
      <c r="O7" s="183" t="s">
        <v>4</v>
      </c>
      <c r="P7" s="177" t="s">
        <v>1324</v>
      </c>
      <c r="Q7" s="177" t="s">
        <v>355</v>
      </c>
      <c r="R7" s="177" t="s">
        <v>4</v>
      </c>
      <c r="S7" s="177" t="s">
        <v>4</v>
      </c>
      <c r="T7" s="177" t="s">
        <v>1622</v>
      </c>
      <c r="U7" s="177" t="s">
        <v>1715</v>
      </c>
      <c r="V7" s="177" t="s">
        <v>3904</v>
      </c>
      <c r="W7" s="177" t="s">
        <v>1808</v>
      </c>
      <c r="X7" s="177" t="s">
        <v>1897</v>
      </c>
      <c r="Y7" s="177" t="s">
        <v>4</v>
      </c>
      <c r="Z7" s="177" t="s">
        <v>356</v>
      </c>
      <c r="AA7" s="177" t="s">
        <v>2080</v>
      </c>
      <c r="AB7" s="177" t="s">
        <v>2172</v>
      </c>
      <c r="AC7" s="177" t="s">
        <v>2262</v>
      </c>
      <c r="AD7" s="177" t="s">
        <v>2347</v>
      </c>
      <c r="AE7" s="177" t="s">
        <v>4</v>
      </c>
      <c r="AF7" s="177" t="s">
        <v>4</v>
      </c>
      <c r="AG7" s="177" t="s">
        <v>2573</v>
      </c>
      <c r="AH7" s="177" t="s">
        <v>4</v>
      </c>
      <c r="AI7" s="177" t="s">
        <v>2711</v>
      </c>
      <c r="AJ7" s="177" t="s">
        <v>1808</v>
      </c>
      <c r="AK7" s="177" t="s">
        <v>357</v>
      </c>
      <c r="AL7" s="177" t="s">
        <v>1808</v>
      </c>
      <c r="AM7" s="177" t="s">
        <v>770</v>
      </c>
      <c r="AN7" s="177" t="s">
        <v>3109</v>
      </c>
      <c r="AO7" s="177" t="s">
        <v>3182</v>
      </c>
      <c r="AP7" s="177" t="s">
        <v>2262</v>
      </c>
      <c r="AQ7" s="177" t="s">
        <v>357</v>
      </c>
      <c r="AR7" s="177" t="s">
        <v>3368</v>
      </c>
      <c r="AS7" s="177" t="s">
        <v>3436</v>
      </c>
      <c r="AT7" s="177" t="s">
        <v>3529</v>
      </c>
      <c r="AU7" s="177" t="s">
        <v>3615</v>
      </c>
      <c r="AV7" s="177" t="s">
        <v>3697</v>
      </c>
      <c r="AW7" s="181" t="str">
        <f>IF('Custom Language and Timezone'!E13&lt;&gt;"",'Custom Language and Timezone'!E13,'Custom Language and Timezone'!C13)</f>
        <v>England</v>
      </c>
    </row>
    <row r="8" spans="1:49" x14ac:dyDescent="0.2">
      <c r="A8" s="181">
        <v>7</v>
      </c>
      <c r="B8" s="181" t="s">
        <v>107</v>
      </c>
      <c r="C8" s="181" t="s">
        <v>505</v>
      </c>
      <c r="D8" s="181" t="s">
        <v>588</v>
      </c>
      <c r="E8" s="182" t="s">
        <v>678</v>
      </c>
      <c r="F8" s="182" t="s">
        <v>771</v>
      </c>
      <c r="G8" s="177" t="s">
        <v>3768</v>
      </c>
      <c r="H8" s="177" t="s">
        <v>860</v>
      </c>
      <c r="I8" s="177" t="s">
        <v>947</v>
      </c>
      <c r="J8" s="177" t="s">
        <v>1039</v>
      </c>
      <c r="K8" s="177" t="s">
        <v>3183</v>
      </c>
      <c r="L8" s="177" t="s">
        <v>1122</v>
      </c>
      <c r="M8" s="177" t="s">
        <v>505</v>
      </c>
      <c r="N8" s="177" t="s">
        <v>505</v>
      </c>
      <c r="O8" s="181" t="s">
        <v>107</v>
      </c>
      <c r="P8" s="177" t="s">
        <v>1325</v>
      </c>
      <c r="Q8" s="177" t="s">
        <v>1407</v>
      </c>
      <c r="R8" s="177" t="s">
        <v>1482</v>
      </c>
      <c r="S8" s="177" t="s">
        <v>1565</v>
      </c>
      <c r="T8" s="177" t="s">
        <v>1623</v>
      </c>
      <c r="U8" s="177" t="s">
        <v>1716</v>
      </c>
      <c r="V8" s="177" t="s">
        <v>3905</v>
      </c>
      <c r="W8" s="177" t="s">
        <v>1809</v>
      </c>
      <c r="X8" s="177" t="s">
        <v>1898</v>
      </c>
      <c r="Y8" s="177" t="s">
        <v>107</v>
      </c>
      <c r="Z8" s="177" t="s">
        <v>107</v>
      </c>
      <c r="AA8" s="177" t="s">
        <v>2081</v>
      </c>
      <c r="AB8" s="177" t="s">
        <v>2173</v>
      </c>
      <c r="AC8" s="177" t="s">
        <v>1122</v>
      </c>
      <c r="AD8" s="177" t="s">
        <v>2348</v>
      </c>
      <c r="AE8" s="177" t="s">
        <v>1898</v>
      </c>
      <c r="AF8" s="177" t="s">
        <v>2493</v>
      </c>
      <c r="AG8" s="177" t="s">
        <v>2574</v>
      </c>
      <c r="AH8" s="177" t="s">
        <v>1565</v>
      </c>
      <c r="AI8" s="177" t="s">
        <v>2712</v>
      </c>
      <c r="AJ8" s="177" t="s">
        <v>2803</v>
      </c>
      <c r="AK8" s="177" t="s">
        <v>860</v>
      </c>
      <c r="AL8" s="177" t="s">
        <v>1898</v>
      </c>
      <c r="AM8" s="177" t="s">
        <v>3032</v>
      </c>
      <c r="AN8" s="177" t="s">
        <v>2348</v>
      </c>
      <c r="AO8" s="177" t="s">
        <v>3183</v>
      </c>
      <c r="AP8" s="177" t="s">
        <v>1122</v>
      </c>
      <c r="AQ8" s="177" t="s">
        <v>1898</v>
      </c>
      <c r="AR8" s="177" t="s">
        <v>3369</v>
      </c>
      <c r="AS8" s="177" t="s">
        <v>3437</v>
      </c>
      <c r="AT8" s="177" t="s">
        <v>3530</v>
      </c>
      <c r="AU8" s="177" t="s">
        <v>3616</v>
      </c>
      <c r="AV8" s="177" t="s">
        <v>3698</v>
      </c>
      <c r="AW8" s="181" t="str">
        <f>IF('Custom Language and Timezone'!E14&lt;&gt;"",'Custom Language and Timezone'!E14,'Custom Language and Timezone'!C14)</f>
        <v>Russia</v>
      </c>
    </row>
    <row r="9" spans="1:49" x14ac:dyDescent="0.2">
      <c r="A9" s="181">
        <v>8</v>
      </c>
      <c r="B9" s="183" t="s">
        <v>54</v>
      </c>
      <c r="C9" s="181" t="s">
        <v>506</v>
      </c>
      <c r="D9" s="181" t="s">
        <v>589</v>
      </c>
      <c r="E9" s="182" t="s">
        <v>679</v>
      </c>
      <c r="F9" s="182" t="s">
        <v>772</v>
      </c>
      <c r="G9" s="177" t="s">
        <v>3033</v>
      </c>
      <c r="H9" s="177" t="s">
        <v>861</v>
      </c>
      <c r="I9" s="177" t="s">
        <v>948</v>
      </c>
      <c r="J9" s="177" t="s">
        <v>1040</v>
      </c>
      <c r="K9" s="177" t="s">
        <v>54</v>
      </c>
      <c r="L9" s="177" t="s">
        <v>1123</v>
      </c>
      <c r="M9" s="177" t="s">
        <v>54</v>
      </c>
      <c r="N9" s="177" t="s">
        <v>54</v>
      </c>
      <c r="O9" s="183" t="s">
        <v>54</v>
      </c>
      <c r="P9" s="177" t="s">
        <v>54</v>
      </c>
      <c r="Q9" s="177" t="s">
        <v>1408</v>
      </c>
      <c r="R9" s="177" t="s">
        <v>54</v>
      </c>
      <c r="S9" s="177" t="s">
        <v>54</v>
      </c>
      <c r="T9" s="177" t="s">
        <v>1624</v>
      </c>
      <c r="U9" s="177" t="s">
        <v>1717</v>
      </c>
      <c r="V9" s="177" t="s">
        <v>3906</v>
      </c>
      <c r="W9" s="177" t="s">
        <v>54</v>
      </c>
      <c r="X9" s="177" t="s">
        <v>54</v>
      </c>
      <c r="Y9" s="177" t="s">
        <v>54</v>
      </c>
      <c r="Z9" s="177" t="s">
        <v>2002</v>
      </c>
      <c r="AA9" s="177" t="s">
        <v>2082</v>
      </c>
      <c r="AB9" s="177" t="s">
        <v>2174</v>
      </c>
      <c r="AC9" s="177" t="s">
        <v>2263</v>
      </c>
      <c r="AD9" s="177" t="s">
        <v>2349</v>
      </c>
      <c r="AE9" s="177" t="s">
        <v>54</v>
      </c>
      <c r="AF9" s="177" t="s">
        <v>54</v>
      </c>
      <c r="AG9" s="177" t="s">
        <v>2575</v>
      </c>
      <c r="AH9" s="177" t="s">
        <v>54</v>
      </c>
      <c r="AI9" s="177" t="s">
        <v>2713</v>
      </c>
      <c r="AJ9" s="177" t="s">
        <v>2804</v>
      </c>
      <c r="AK9" s="177" t="s">
        <v>2888</v>
      </c>
      <c r="AL9" s="177" t="s">
        <v>2970</v>
      </c>
      <c r="AM9" s="177" t="s">
        <v>3033</v>
      </c>
      <c r="AN9" s="177" t="s">
        <v>2349</v>
      </c>
      <c r="AO9" s="177" t="s">
        <v>54</v>
      </c>
      <c r="AP9" s="177" t="s">
        <v>54</v>
      </c>
      <c r="AQ9" s="177" t="s">
        <v>3305</v>
      </c>
      <c r="AR9" s="177" t="s">
        <v>3370</v>
      </c>
      <c r="AS9" s="177" t="s">
        <v>3438</v>
      </c>
      <c r="AT9" s="177" t="s">
        <v>3531</v>
      </c>
      <c r="AU9" s="177" t="s">
        <v>3617</v>
      </c>
      <c r="AV9" s="177" t="s">
        <v>3699</v>
      </c>
      <c r="AW9" s="181" t="str">
        <f>IF('Custom Language and Timezone'!E15&lt;&gt;"",'Custom Language and Timezone'!E15,'Custom Language and Timezone'!C15)</f>
        <v>Wales</v>
      </c>
    </row>
    <row r="10" spans="1:49" x14ac:dyDescent="0.2">
      <c r="A10" s="181">
        <v>9</v>
      </c>
      <c r="B10" s="181" t="s">
        <v>108</v>
      </c>
      <c r="C10" s="181" t="s">
        <v>507</v>
      </c>
      <c r="D10" s="181" t="s">
        <v>590</v>
      </c>
      <c r="E10" s="182" t="s">
        <v>680</v>
      </c>
      <c r="F10" s="182" t="s">
        <v>773</v>
      </c>
      <c r="G10" s="177" t="s">
        <v>3769</v>
      </c>
      <c r="H10" s="177" t="s">
        <v>862</v>
      </c>
      <c r="I10" s="177" t="s">
        <v>949</v>
      </c>
      <c r="J10" s="177" t="s">
        <v>949</v>
      </c>
      <c r="K10" s="177" t="s">
        <v>3184</v>
      </c>
      <c r="L10" s="177" t="s">
        <v>1124</v>
      </c>
      <c r="M10" s="177" t="s">
        <v>1211</v>
      </c>
      <c r="N10" s="177" t="s">
        <v>1279</v>
      </c>
      <c r="O10" s="181" t="s">
        <v>108</v>
      </c>
      <c r="P10" s="177" t="s">
        <v>108</v>
      </c>
      <c r="Q10" s="177" t="s">
        <v>1409</v>
      </c>
      <c r="R10" s="177" t="s">
        <v>1483</v>
      </c>
      <c r="S10" s="177" t="s">
        <v>1566</v>
      </c>
      <c r="T10" s="177" t="s">
        <v>1625</v>
      </c>
      <c r="U10" s="177" t="s">
        <v>1718</v>
      </c>
      <c r="V10" s="177" t="s">
        <v>3907</v>
      </c>
      <c r="W10" s="177" t="s">
        <v>1810</v>
      </c>
      <c r="X10" s="177" t="s">
        <v>108</v>
      </c>
      <c r="Y10" s="177" t="s">
        <v>108</v>
      </c>
      <c r="Z10" s="177" t="s">
        <v>2003</v>
      </c>
      <c r="AA10" s="177" t="s">
        <v>2083</v>
      </c>
      <c r="AB10" s="177" t="s">
        <v>2175</v>
      </c>
      <c r="AC10" s="177" t="s">
        <v>2264</v>
      </c>
      <c r="AD10" s="177" t="s">
        <v>2350</v>
      </c>
      <c r="AE10" s="177" t="s">
        <v>108</v>
      </c>
      <c r="AF10" s="177" t="s">
        <v>2494</v>
      </c>
      <c r="AG10" s="177" t="s">
        <v>2576</v>
      </c>
      <c r="AH10" s="177" t="s">
        <v>108</v>
      </c>
      <c r="AI10" s="177" t="s">
        <v>2714</v>
      </c>
      <c r="AJ10" s="177" t="s">
        <v>2805</v>
      </c>
      <c r="AK10" s="177" t="s">
        <v>2889</v>
      </c>
      <c r="AL10" s="177" t="s">
        <v>2971</v>
      </c>
      <c r="AM10" s="177" t="s">
        <v>773</v>
      </c>
      <c r="AN10" s="177" t="s">
        <v>2350</v>
      </c>
      <c r="AO10" s="177" t="s">
        <v>3184</v>
      </c>
      <c r="AP10" s="177" t="s">
        <v>3256</v>
      </c>
      <c r="AQ10" s="177" t="s">
        <v>3306</v>
      </c>
      <c r="AR10" s="177" t="s">
        <v>3371</v>
      </c>
      <c r="AS10" s="177" t="s">
        <v>3439</v>
      </c>
      <c r="AT10" s="177" t="s">
        <v>3532</v>
      </c>
      <c r="AU10" s="177" t="s">
        <v>3618</v>
      </c>
      <c r="AV10" s="177" t="s">
        <v>108</v>
      </c>
      <c r="AW10" s="181" t="str">
        <f>IF('Custom Language and Timezone'!E16&lt;&gt;"",'Custom Language and Timezone'!E16,'Custom Language and Timezone'!C16)</f>
        <v>Slovakia</v>
      </c>
    </row>
    <row r="11" spans="1:49" x14ac:dyDescent="0.2">
      <c r="A11" s="181">
        <v>10</v>
      </c>
      <c r="B11" s="183" t="s">
        <v>109</v>
      </c>
      <c r="C11" s="183" t="s">
        <v>508</v>
      </c>
      <c r="D11" s="181" t="s">
        <v>591</v>
      </c>
      <c r="E11" s="183" t="s">
        <v>681</v>
      </c>
      <c r="F11" s="183" t="s">
        <v>774</v>
      </c>
      <c r="G11" s="177" t="s">
        <v>3770</v>
      </c>
      <c r="H11" s="177" t="s">
        <v>863</v>
      </c>
      <c r="I11" s="177" t="s">
        <v>950</v>
      </c>
      <c r="J11" s="177" t="s">
        <v>1041</v>
      </c>
      <c r="K11" s="177" t="s">
        <v>3846</v>
      </c>
      <c r="L11" s="177" t="s">
        <v>1125</v>
      </c>
      <c r="M11" s="177" t="s">
        <v>1212</v>
      </c>
      <c r="N11" s="177" t="s">
        <v>508</v>
      </c>
      <c r="O11" s="183" t="s">
        <v>109</v>
      </c>
      <c r="P11" s="177" t="s">
        <v>1326</v>
      </c>
      <c r="Q11" s="177" t="s">
        <v>1410</v>
      </c>
      <c r="R11" s="177" t="s">
        <v>1484</v>
      </c>
      <c r="S11" s="177" t="s">
        <v>1567</v>
      </c>
      <c r="T11" s="177" t="s">
        <v>1626</v>
      </c>
      <c r="U11" s="177" t="s">
        <v>1719</v>
      </c>
      <c r="V11" s="177" t="s">
        <v>3908</v>
      </c>
      <c r="W11" s="177" t="s">
        <v>1811</v>
      </c>
      <c r="X11" s="177" t="s">
        <v>1899</v>
      </c>
      <c r="Y11" s="177" t="s">
        <v>1974</v>
      </c>
      <c r="Z11" s="177" t="s">
        <v>2004</v>
      </c>
      <c r="AA11" s="177" t="s">
        <v>2084</v>
      </c>
      <c r="AB11" s="177" t="s">
        <v>2176</v>
      </c>
      <c r="AC11" s="177" t="s">
        <v>2265</v>
      </c>
      <c r="AD11" s="177" t="s">
        <v>2351</v>
      </c>
      <c r="AE11" s="177" t="s">
        <v>1899</v>
      </c>
      <c r="AF11" s="177" t="s">
        <v>2495</v>
      </c>
      <c r="AG11" s="177" t="s">
        <v>2577</v>
      </c>
      <c r="AH11" s="177" t="s">
        <v>1212</v>
      </c>
      <c r="AI11" s="177" t="s">
        <v>2715</v>
      </c>
      <c r="AJ11" s="177" t="s">
        <v>2806</v>
      </c>
      <c r="AK11" s="177" t="s">
        <v>2890</v>
      </c>
      <c r="AL11" s="177" t="s">
        <v>2004</v>
      </c>
      <c r="AM11" s="177" t="s">
        <v>774</v>
      </c>
      <c r="AN11" s="177" t="s">
        <v>3110</v>
      </c>
      <c r="AO11" s="177" t="s">
        <v>3185</v>
      </c>
      <c r="AP11" s="177" t="s">
        <v>3257</v>
      </c>
      <c r="AQ11" s="177" t="s">
        <v>3307</v>
      </c>
      <c r="AR11" s="177" t="s">
        <v>3372</v>
      </c>
      <c r="AS11" s="177" t="s">
        <v>3440</v>
      </c>
      <c r="AT11" s="177" t="s">
        <v>3533</v>
      </c>
      <c r="AU11" s="177" t="s">
        <v>3619</v>
      </c>
      <c r="AV11" s="177" t="s">
        <v>3700</v>
      </c>
      <c r="AW11" s="181" t="str">
        <f>IF('Custom Language and Timezone'!E17&lt;&gt;"",'Custom Language and Timezone'!E17,'Custom Language and Timezone'!C17)</f>
        <v>Germany</v>
      </c>
    </row>
    <row r="12" spans="1:49" x14ac:dyDescent="0.2">
      <c r="A12" s="181">
        <v>11</v>
      </c>
      <c r="B12" s="181" t="s">
        <v>110</v>
      </c>
      <c r="C12" s="181" t="s">
        <v>509</v>
      </c>
      <c r="D12" s="181" t="s">
        <v>592</v>
      </c>
      <c r="E12" s="182" t="s">
        <v>682</v>
      </c>
      <c r="F12" s="182" t="s">
        <v>775</v>
      </c>
      <c r="G12" s="177" t="s">
        <v>3771</v>
      </c>
      <c r="H12" s="177" t="s">
        <v>864</v>
      </c>
      <c r="I12" s="177" t="s">
        <v>951</v>
      </c>
      <c r="J12" s="177" t="s">
        <v>1042</v>
      </c>
      <c r="K12" s="177" t="s">
        <v>1126</v>
      </c>
      <c r="L12" s="177" t="s">
        <v>1126</v>
      </c>
      <c r="M12" s="177" t="s">
        <v>110</v>
      </c>
      <c r="N12" s="177" t="s">
        <v>509</v>
      </c>
      <c r="O12" s="181" t="s">
        <v>110</v>
      </c>
      <c r="P12" s="177" t="s">
        <v>1327</v>
      </c>
      <c r="Q12" s="177" t="s">
        <v>110</v>
      </c>
      <c r="R12" s="177" t="s">
        <v>1485</v>
      </c>
      <c r="S12" s="177" t="s">
        <v>110</v>
      </c>
      <c r="T12" s="177" t="s">
        <v>1627</v>
      </c>
      <c r="U12" s="177" t="s">
        <v>1720</v>
      </c>
      <c r="V12" s="177" t="s">
        <v>3909</v>
      </c>
      <c r="W12" s="177" t="s">
        <v>1812</v>
      </c>
      <c r="X12" s="177" t="s">
        <v>1327</v>
      </c>
      <c r="Y12" s="177" t="s">
        <v>1975</v>
      </c>
      <c r="Z12" s="177" t="s">
        <v>2005</v>
      </c>
      <c r="AA12" s="177" t="s">
        <v>2085</v>
      </c>
      <c r="AB12" s="177" t="s">
        <v>2177</v>
      </c>
      <c r="AC12" s="177" t="s">
        <v>1327</v>
      </c>
      <c r="AD12" s="177" t="s">
        <v>2352</v>
      </c>
      <c r="AE12" s="177" t="s">
        <v>110</v>
      </c>
      <c r="AF12" s="177" t="s">
        <v>1327</v>
      </c>
      <c r="AG12" s="177" t="s">
        <v>2578</v>
      </c>
      <c r="AH12" s="177" t="s">
        <v>1327</v>
      </c>
      <c r="AI12" s="177" t="s">
        <v>2716</v>
      </c>
      <c r="AJ12" s="177" t="s">
        <v>1327</v>
      </c>
      <c r="AK12" s="177" t="s">
        <v>2891</v>
      </c>
      <c r="AL12" s="177" t="s">
        <v>2005</v>
      </c>
      <c r="AM12" s="177" t="s">
        <v>2352</v>
      </c>
      <c r="AN12" s="177" t="s">
        <v>3111</v>
      </c>
      <c r="AO12" s="177" t="s">
        <v>1126</v>
      </c>
      <c r="AP12" s="177" t="s">
        <v>1126</v>
      </c>
      <c r="AQ12" s="177" t="s">
        <v>3308</v>
      </c>
      <c r="AR12" s="177" t="s">
        <v>1327</v>
      </c>
      <c r="AS12" s="177" t="s">
        <v>3441</v>
      </c>
      <c r="AT12" s="177" t="s">
        <v>3534</v>
      </c>
      <c r="AU12" s="177" t="s">
        <v>3620</v>
      </c>
      <c r="AV12" s="177" t="s">
        <v>1327</v>
      </c>
      <c r="AW12" s="181" t="str">
        <f>IF('Custom Language and Timezone'!E18&lt;&gt;"",'Custom Language and Timezone'!E18,'Custom Language and Timezone'!C18)</f>
        <v>Ukraine</v>
      </c>
    </row>
    <row r="13" spans="1:49" x14ac:dyDescent="0.2">
      <c r="A13" s="181">
        <v>12</v>
      </c>
      <c r="B13" s="183" t="s">
        <v>111</v>
      </c>
      <c r="C13" s="181" t="s">
        <v>510</v>
      </c>
      <c r="D13" s="181" t="s">
        <v>593</v>
      </c>
      <c r="E13" s="182" t="s">
        <v>683</v>
      </c>
      <c r="F13" s="182" t="s">
        <v>776</v>
      </c>
      <c r="G13" s="177" t="s">
        <v>3772</v>
      </c>
      <c r="H13" s="177" t="s">
        <v>865</v>
      </c>
      <c r="I13" s="177" t="s">
        <v>952</v>
      </c>
      <c r="J13" s="177" t="s">
        <v>1043</v>
      </c>
      <c r="K13" s="177" t="s">
        <v>3847</v>
      </c>
      <c r="L13" s="177" t="s">
        <v>1127</v>
      </c>
      <c r="M13" s="177" t="s">
        <v>1213</v>
      </c>
      <c r="N13" s="177" t="s">
        <v>1213</v>
      </c>
      <c r="O13" s="183" t="s">
        <v>111</v>
      </c>
      <c r="P13" s="177" t="s">
        <v>1328</v>
      </c>
      <c r="Q13" s="177" t="s">
        <v>1411</v>
      </c>
      <c r="R13" s="177" t="s">
        <v>1486</v>
      </c>
      <c r="S13" s="177" t="s">
        <v>1213</v>
      </c>
      <c r="T13" s="177" t="s">
        <v>1628</v>
      </c>
      <c r="U13" s="177" t="s">
        <v>1721</v>
      </c>
      <c r="V13" s="177" t="s">
        <v>3910</v>
      </c>
      <c r="W13" s="177" t="s">
        <v>1813</v>
      </c>
      <c r="X13" s="177" t="s">
        <v>1900</v>
      </c>
      <c r="Y13" s="177" t="s">
        <v>111</v>
      </c>
      <c r="Z13" s="177" t="s">
        <v>2006</v>
      </c>
      <c r="AA13" s="177" t="s">
        <v>2086</v>
      </c>
      <c r="AB13" s="177" t="s">
        <v>2178</v>
      </c>
      <c r="AC13" s="177" t="s">
        <v>2266</v>
      </c>
      <c r="AD13" s="177" t="s">
        <v>2353</v>
      </c>
      <c r="AE13" s="177" t="s">
        <v>111</v>
      </c>
      <c r="AF13" s="177" t="s">
        <v>2496</v>
      </c>
      <c r="AG13" s="177" t="s">
        <v>2579</v>
      </c>
      <c r="AH13" s="177" t="s">
        <v>1213</v>
      </c>
      <c r="AI13" s="177" t="s">
        <v>2717</v>
      </c>
      <c r="AJ13" s="177" t="s">
        <v>2807</v>
      </c>
      <c r="AK13" s="177" t="s">
        <v>2892</v>
      </c>
      <c r="AL13" s="177" t="s">
        <v>2006</v>
      </c>
      <c r="AM13" s="177" t="s">
        <v>3034</v>
      </c>
      <c r="AN13" s="177" t="s">
        <v>3112</v>
      </c>
      <c r="AO13" s="177" t="s">
        <v>3186</v>
      </c>
      <c r="AP13" s="177" t="s">
        <v>1127</v>
      </c>
      <c r="AQ13" s="177" t="s">
        <v>2006</v>
      </c>
      <c r="AR13" s="177" t="s">
        <v>3373</v>
      </c>
      <c r="AS13" s="177" t="s">
        <v>3442</v>
      </c>
      <c r="AT13" s="177" t="s">
        <v>3535</v>
      </c>
      <c r="AU13" s="177" t="s">
        <v>3621</v>
      </c>
      <c r="AV13" s="177" t="s">
        <v>3701</v>
      </c>
      <c r="AW13" s="181" t="str">
        <f>IF('Custom Language and Timezone'!E19&lt;&gt;"",'Custom Language and Timezone'!E19,'Custom Language and Timezone'!C19)</f>
        <v>Poland</v>
      </c>
    </row>
    <row r="14" spans="1:49" x14ac:dyDescent="0.2">
      <c r="A14" s="181">
        <v>13</v>
      </c>
      <c r="B14" s="181" t="s">
        <v>112</v>
      </c>
      <c r="C14" s="181" t="s">
        <v>511</v>
      </c>
      <c r="D14" s="181" t="s">
        <v>594</v>
      </c>
      <c r="E14" s="182" t="s">
        <v>684</v>
      </c>
      <c r="F14" s="182" t="s">
        <v>777</v>
      </c>
      <c r="G14" s="177" t="s">
        <v>3773</v>
      </c>
      <c r="H14" s="177" t="s">
        <v>866</v>
      </c>
      <c r="I14" s="177" t="s">
        <v>953</v>
      </c>
      <c r="J14" s="177" t="s">
        <v>1044</v>
      </c>
      <c r="K14" s="177" t="s">
        <v>3848</v>
      </c>
      <c r="L14" s="177" t="s">
        <v>1128</v>
      </c>
      <c r="M14" s="177" t="s">
        <v>1214</v>
      </c>
      <c r="N14" s="177" t="s">
        <v>511</v>
      </c>
      <c r="O14" s="181" t="s">
        <v>112</v>
      </c>
      <c r="P14" s="177" t="s">
        <v>1329</v>
      </c>
      <c r="Q14" s="177" t="s">
        <v>1412</v>
      </c>
      <c r="R14" s="177" t="s">
        <v>1487</v>
      </c>
      <c r="S14" s="177" t="s">
        <v>1214</v>
      </c>
      <c r="T14" s="177" t="s">
        <v>1629</v>
      </c>
      <c r="U14" s="177" t="s">
        <v>1722</v>
      </c>
      <c r="V14" s="177" t="s">
        <v>3911</v>
      </c>
      <c r="W14" s="177" t="s">
        <v>1814</v>
      </c>
      <c r="X14" s="177" t="s">
        <v>1901</v>
      </c>
      <c r="Y14" s="177" t="s">
        <v>1976</v>
      </c>
      <c r="Z14" s="177" t="s">
        <v>2007</v>
      </c>
      <c r="AA14" s="177" t="s">
        <v>2087</v>
      </c>
      <c r="AB14" s="177" t="s">
        <v>2179</v>
      </c>
      <c r="AC14" s="177" t="s">
        <v>2267</v>
      </c>
      <c r="AD14" s="177" t="s">
        <v>2354</v>
      </c>
      <c r="AE14" s="177" t="s">
        <v>2428</v>
      </c>
      <c r="AF14" s="177" t="s">
        <v>2497</v>
      </c>
      <c r="AG14" s="177" t="s">
        <v>2580</v>
      </c>
      <c r="AH14" s="177" t="s">
        <v>2661</v>
      </c>
      <c r="AI14" s="177" t="s">
        <v>2718</v>
      </c>
      <c r="AJ14" s="177" t="s">
        <v>2808</v>
      </c>
      <c r="AK14" s="177" t="s">
        <v>2893</v>
      </c>
      <c r="AL14" s="177" t="s">
        <v>2972</v>
      </c>
      <c r="AM14" s="177" t="s">
        <v>3035</v>
      </c>
      <c r="AN14" s="177" t="s">
        <v>3113</v>
      </c>
      <c r="AO14" s="177" t="s">
        <v>3187</v>
      </c>
      <c r="AP14" s="177" t="s">
        <v>3113</v>
      </c>
      <c r="AQ14" s="177" t="s">
        <v>3309</v>
      </c>
      <c r="AR14" s="177" t="s">
        <v>3374</v>
      </c>
      <c r="AS14" s="177" t="s">
        <v>3443</v>
      </c>
      <c r="AT14" s="177" t="s">
        <v>3536</v>
      </c>
      <c r="AU14" s="177" t="s">
        <v>3622</v>
      </c>
      <c r="AV14" s="177" t="s">
        <v>3702</v>
      </c>
      <c r="AW14" s="181" t="str">
        <f>IF('Custom Language and Timezone'!E20&lt;&gt;"",'Custom Language and Timezone'!E20,'Custom Language and Timezone'!C20)</f>
        <v>Northern Ireland</v>
      </c>
    </row>
    <row r="15" spans="1:49" x14ac:dyDescent="0.2">
      <c r="A15" s="181">
        <v>14</v>
      </c>
      <c r="B15" s="183" t="s">
        <v>113</v>
      </c>
      <c r="C15" s="181" t="s">
        <v>350</v>
      </c>
      <c r="D15" s="181" t="s">
        <v>595</v>
      </c>
      <c r="E15" s="182" t="s">
        <v>685</v>
      </c>
      <c r="F15" s="182" t="s">
        <v>778</v>
      </c>
      <c r="G15" s="177" t="s">
        <v>3623</v>
      </c>
      <c r="H15" s="177" t="s">
        <v>867</v>
      </c>
      <c r="I15" s="177" t="s">
        <v>954</v>
      </c>
      <c r="J15" s="177" t="s">
        <v>954</v>
      </c>
      <c r="K15" s="177" t="s">
        <v>3849</v>
      </c>
      <c r="L15" s="177" t="s">
        <v>1129</v>
      </c>
      <c r="M15" s="177" t="s">
        <v>351</v>
      </c>
      <c r="N15" s="177" t="s">
        <v>350</v>
      </c>
      <c r="O15" s="183" t="s">
        <v>113</v>
      </c>
      <c r="P15" s="177" t="s">
        <v>1330</v>
      </c>
      <c r="Q15" s="177" t="s">
        <v>1413</v>
      </c>
      <c r="R15" s="177" t="s">
        <v>1488</v>
      </c>
      <c r="S15" s="177" t="s">
        <v>351</v>
      </c>
      <c r="T15" s="177" t="s">
        <v>1630</v>
      </c>
      <c r="U15" s="177" t="s">
        <v>1723</v>
      </c>
      <c r="V15" s="177" t="s">
        <v>3912</v>
      </c>
      <c r="W15" s="177" t="s">
        <v>1815</v>
      </c>
      <c r="X15" s="177" t="s">
        <v>1902</v>
      </c>
      <c r="Y15" s="177" t="s">
        <v>113</v>
      </c>
      <c r="Z15" s="177" t="s">
        <v>352</v>
      </c>
      <c r="AA15" s="177" t="s">
        <v>2088</v>
      </c>
      <c r="AB15" s="177" t="s">
        <v>2180</v>
      </c>
      <c r="AC15" s="177" t="s">
        <v>2268</v>
      </c>
      <c r="AD15" s="177" t="s">
        <v>2355</v>
      </c>
      <c r="AE15" s="177" t="s">
        <v>2429</v>
      </c>
      <c r="AF15" s="177" t="s">
        <v>2498</v>
      </c>
      <c r="AG15" s="177" t="s">
        <v>2581</v>
      </c>
      <c r="AH15" s="177" t="s">
        <v>2662</v>
      </c>
      <c r="AI15" s="177" t="s">
        <v>2719</v>
      </c>
      <c r="AJ15" s="177" t="s">
        <v>2809</v>
      </c>
      <c r="AK15" s="177" t="s">
        <v>2894</v>
      </c>
      <c r="AL15" s="177" t="s">
        <v>2662</v>
      </c>
      <c r="AM15" s="177" t="s">
        <v>778</v>
      </c>
      <c r="AN15" s="177" t="s">
        <v>2355</v>
      </c>
      <c r="AO15" s="177" t="s">
        <v>3188</v>
      </c>
      <c r="AP15" s="177" t="s">
        <v>1129</v>
      </c>
      <c r="AQ15" s="177" t="s">
        <v>353</v>
      </c>
      <c r="AR15" s="177" t="s">
        <v>3375</v>
      </c>
      <c r="AS15" s="177" t="s">
        <v>3444</v>
      </c>
      <c r="AT15" s="177" t="s">
        <v>3537</v>
      </c>
      <c r="AU15" s="177" t="s">
        <v>3623</v>
      </c>
      <c r="AV15" s="177" t="s">
        <v>3703</v>
      </c>
      <c r="AW15" s="181" t="str">
        <f>IF('Custom Language and Timezone'!E21&lt;&gt;"",'Custom Language and Timezone'!E21,'Custom Language and Timezone'!C21)</f>
        <v>Spain</v>
      </c>
    </row>
    <row r="16" spans="1:49" x14ac:dyDescent="0.2">
      <c r="A16" s="181">
        <v>15</v>
      </c>
      <c r="B16" s="183" t="s">
        <v>114</v>
      </c>
      <c r="C16" s="183" t="s">
        <v>512</v>
      </c>
      <c r="D16" s="181" t="s">
        <v>596</v>
      </c>
      <c r="E16" s="183" t="s">
        <v>686</v>
      </c>
      <c r="F16" s="183" t="s">
        <v>779</v>
      </c>
      <c r="G16" s="177" t="s">
        <v>3774</v>
      </c>
      <c r="H16" s="177" t="s">
        <v>868</v>
      </c>
      <c r="I16" s="177" t="s">
        <v>955</v>
      </c>
      <c r="J16" s="177" t="s">
        <v>1045</v>
      </c>
      <c r="K16" s="177" t="s">
        <v>3189</v>
      </c>
      <c r="L16" s="177" t="s">
        <v>1130</v>
      </c>
      <c r="M16" s="177" t="s">
        <v>1215</v>
      </c>
      <c r="N16" s="177" t="s">
        <v>1280</v>
      </c>
      <c r="O16" s="183" t="s">
        <v>114</v>
      </c>
      <c r="P16" s="177" t="s">
        <v>1331</v>
      </c>
      <c r="Q16" s="177" t="s">
        <v>1414</v>
      </c>
      <c r="R16" s="177" t="s">
        <v>1489</v>
      </c>
      <c r="S16" s="177" t="s">
        <v>1568</v>
      </c>
      <c r="T16" s="177" t="s">
        <v>1631</v>
      </c>
      <c r="U16" s="177" t="s">
        <v>1724</v>
      </c>
      <c r="V16" s="177" t="s">
        <v>3913</v>
      </c>
      <c r="W16" s="177" t="s">
        <v>1816</v>
      </c>
      <c r="X16" s="177" t="s">
        <v>1903</v>
      </c>
      <c r="Y16" s="177" t="s">
        <v>1977</v>
      </c>
      <c r="Z16" s="177" t="s">
        <v>2008</v>
      </c>
      <c r="AA16" s="177" t="s">
        <v>2089</v>
      </c>
      <c r="AB16" s="177" t="s">
        <v>2181</v>
      </c>
      <c r="AC16" s="177" t="s">
        <v>2269</v>
      </c>
      <c r="AD16" s="177" t="s">
        <v>2356</v>
      </c>
      <c r="AE16" s="177" t="s">
        <v>2430</v>
      </c>
      <c r="AF16" s="177" t="s">
        <v>2499</v>
      </c>
      <c r="AG16" s="177" t="s">
        <v>2582</v>
      </c>
      <c r="AH16" s="177" t="s">
        <v>2663</v>
      </c>
      <c r="AI16" s="177" t="s">
        <v>2720</v>
      </c>
      <c r="AJ16" s="177" t="s">
        <v>2810</v>
      </c>
      <c r="AK16" s="177" t="s">
        <v>2895</v>
      </c>
      <c r="AL16" s="177" t="s">
        <v>2973</v>
      </c>
      <c r="AM16" s="177" t="s">
        <v>3036</v>
      </c>
      <c r="AN16" s="177" t="s">
        <v>3114</v>
      </c>
      <c r="AO16" s="177" t="s">
        <v>3189</v>
      </c>
      <c r="AP16" s="177" t="s">
        <v>3114</v>
      </c>
      <c r="AQ16" s="177" t="s">
        <v>2895</v>
      </c>
      <c r="AR16" s="177" t="s">
        <v>3376</v>
      </c>
      <c r="AS16" s="177" t="s">
        <v>3445</v>
      </c>
      <c r="AT16" s="177" t="s">
        <v>3538</v>
      </c>
      <c r="AU16" s="177" t="s">
        <v>3624</v>
      </c>
      <c r="AV16" s="177" t="s">
        <v>3704</v>
      </c>
      <c r="AW16" s="181" t="str">
        <f>IF('Custom Language and Timezone'!E22&lt;&gt;"",'Custom Language and Timezone'!E22,'Custom Language and Timezone'!C22)</f>
        <v>Czech Republic</v>
      </c>
    </row>
    <row r="17" spans="1:49" x14ac:dyDescent="0.2">
      <c r="A17" s="181">
        <v>16</v>
      </c>
      <c r="B17" s="181" t="s">
        <v>115</v>
      </c>
      <c r="C17" s="181" t="s">
        <v>513</v>
      </c>
      <c r="D17" s="181" t="s">
        <v>597</v>
      </c>
      <c r="E17" s="182" t="s">
        <v>687</v>
      </c>
      <c r="F17" s="182" t="s">
        <v>780</v>
      </c>
      <c r="G17" s="177" t="s">
        <v>3775</v>
      </c>
      <c r="H17" s="177" t="s">
        <v>869</v>
      </c>
      <c r="I17" s="177" t="s">
        <v>956</v>
      </c>
      <c r="J17" s="177" t="s">
        <v>1046</v>
      </c>
      <c r="K17" s="177" t="s">
        <v>3850</v>
      </c>
      <c r="L17" s="177" t="s">
        <v>1131</v>
      </c>
      <c r="M17" s="177" t="s">
        <v>1216</v>
      </c>
      <c r="N17" s="177" t="s">
        <v>1281</v>
      </c>
      <c r="O17" s="181" t="s">
        <v>115</v>
      </c>
      <c r="P17" s="177" t="s">
        <v>1332</v>
      </c>
      <c r="Q17" s="177" t="s">
        <v>1415</v>
      </c>
      <c r="R17" s="177" t="s">
        <v>1490</v>
      </c>
      <c r="S17" s="177" t="s">
        <v>1569</v>
      </c>
      <c r="T17" s="177" t="s">
        <v>1632</v>
      </c>
      <c r="U17" s="177" t="s">
        <v>1725</v>
      </c>
      <c r="V17" s="177" t="s">
        <v>3914</v>
      </c>
      <c r="W17" s="177" t="s">
        <v>1817</v>
      </c>
      <c r="X17" s="177" t="s">
        <v>1904</v>
      </c>
      <c r="Y17" s="177" t="s">
        <v>1978</v>
      </c>
      <c r="Z17" s="177" t="s">
        <v>2009</v>
      </c>
      <c r="AA17" s="177" t="s">
        <v>2090</v>
      </c>
      <c r="AB17" s="177" t="s">
        <v>2182</v>
      </c>
      <c r="AC17" s="177" t="s">
        <v>2270</v>
      </c>
      <c r="AD17" s="177" t="s">
        <v>2357</v>
      </c>
      <c r="AE17" s="177" t="s">
        <v>1904</v>
      </c>
      <c r="AF17" s="177" t="s">
        <v>2500</v>
      </c>
      <c r="AG17" s="177" t="s">
        <v>2583</v>
      </c>
      <c r="AH17" s="177" t="s">
        <v>1216</v>
      </c>
      <c r="AI17" s="177" t="s">
        <v>2721</v>
      </c>
      <c r="AJ17" s="177" t="s">
        <v>2811</v>
      </c>
      <c r="AK17" s="177" t="s">
        <v>2896</v>
      </c>
      <c r="AL17" s="177" t="s">
        <v>2974</v>
      </c>
      <c r="AM17" s="177" t="s">
        <v>780</v>
      </c>
      <c r="AN17" s="177" t="s">
        <v>3115</v>
      </c>
      <c r="AO17" s="177" t="s">
        <v>3190</v>
      </c>
      <c r="AP17" s="177" t="s">
        <v>3258</v>
      </c>
      <c r="AQ17" s="177" t="s">
        <v>3310</v>
      </c>
      <c r="AR17" s="177" t="s">
        <v>3377</v>
      </c>
      <c r="AS17" s="177" t="s">
        <v>3446</v>
      </c>
      <c r="AT17" s="177" t="s">
        <v>3539</v>
      </c>
      <c r="AU17" s="177" t="s">
        <v>3625</v>
      </c>
      <c r="AV17" s="177" t="s">
        <v>3705</v>
      </c>
      <c r="AW17" s="181" t="str">
        <f>IF('Custom Language and Timezone'!E23&lt;&gt;"",'Custom Language and Timezone'!E23,'Custom Language and Timezone'!C23)</f>
        <v>Turkey</v>
      </c>
    </row>
    <row r="18" spans="1:49" x14ac:dyDescent="0.2">
      <c r="A18" s="181">
        <v>17</v>
      </c>
      <c r="B18" s="183" t="s">
        <v>116</v>
      </c>
      <c r="C18" s="181" t="s">
        <v>514</v>
      </c>
      <c r="D18" s="181" t="s">
        <v>598</v>
      </c>
      <c r="E18" s="182" t="s">
        <v>688</v>
      </c>
      <c r="F18" s="182" t="s">
        <v>781</v>
      </c>
      <c r="G18" s="177" t="s">
        <v>3776</v>
      </c>
      <c r="H18" s="177" t="s">
        <v>870</v>
      </c>
      <c r="I18" s="177" t="s">
        <v>957</v>
      </c>
      <c r="J18" s="177" t="s">
        <v>1047</v>
      </c>
      <c r="K18" s="177" t="s">
        <v>3851</v>
      </c>
      <c r="L18" s="177" t="s">
        <v>1132</v>
      </c>
      <c r="M18" s="177" t="s">
        <v>347</v>
      </c>
      <c r="N18" s="177" t="s">
        <v>345</v>
      </c>
      <c r="O18" s="183" t="s">
        <v>116</v>
      </c>
      <c r="P18" s="177" t="s">
        <v>1333</v>
      </c>
      <c r="Q18" s="177" t="s">
        <v>346</v>
      </c>
      <c r="R18" s="177" t="s">
        <v>1491</v>
      </c>
      <c r="S18" s="177" t="s">
        <v>347</v>
      </c>
      <c r="T18" s="177" t="s">
        <v>1633</v>
      </c>
      <c r="U18" s="177" t="s">
        <v>1726</v>
      </c>
      <c r="V18" s="177" t="s">
        <v>3915</v>
      </c>
      <c r="W18" s="177" t="s">
        <v>1818</v>
      </c>
      <c r="X18" s="177" t="s">
        <v>1905</v>
      </c>
      <c r="Y18" s="177" t="s">
        <v>116</v>
      </c>
      <c r="Z18" s="177" t="s">
        <v>348</v>
      </c>
      <c r="AA18" s="177" t="s">
        <v>2091</v>
      </c>
      <c r="AB18" s="177" t="s">
        <v>2183</v>
      </c>
      <c r="AC18" s="177" t="s">
        <v>2271</v>
      </c>
      <c r="AD18" s="177" t="s">
        <v>2358</v>
      </c>
      <c r="AE18" s="177" t="s">
        <v>116</v>
      </c>
      <c r="AF18" s="177" t="s">
        <v>2501</v>
      </c>
      <c r="AG18" s="177" t="s">
        <v>2584</v>
      </c>
      <c r="AH18" s="177" t="s">
        <v>1333</v>
      </c>
      <c r="AI18" s="177" t="s">
        <v>2722</v>
      </c>
      <c r="AJ18" s="177" t="s">
        <v>2812</v>
      </c>
      <c r="AK18" s="177" t="s">
        <v>2897</v>
      </c>
      <c r="AL18" s="177" t="s">
        <v>2975</v>
      </c>
      <c r="AM18" s="177" t="s">
        <v>3037</v>
      </c>
      <c r="AN18" s="177" t="s">
        <v>2358</v>
      </c>
      <c r="AO18" s="177" t="s">
        <v>3191</v>
      </c>
      <c r="AP18" s="177" t="s">
        <v>3259</v>
      </c>
      <c r="AQ18" s="177" t="s">
        <v>349</v>
      </c>
      <c r="AR18" s="177" t="s">
        <v>3378</v>
      </c>
      <c r="AS18" s="177" t="s">
        <v>3447</v>
      </c>
      <c r="AT18" s="177" t="s">
        <v>3540</v>
      </c>
      <c r="AU18" s="177" t="s">
        <v>3626</v>
      </c>
      <c r="AV18" s="177" t="s">
        <v>116</v>
      </c>
      <c r="AW18" s="181" t="str">
        <f>IF('Custom Language and Timezone'!E24&lt;&gt;"",'Custom Language and Timezone'!E24,'Custom Language and Timezone'!C24)</f>
        <v>Croatia</v>
      </c>
    </row>
    <row r="19" spans="1:49" x14ac:dyDescent="0.2">
      <c r="A19" s="181">
        <v>18</v>
      </c>
      <c r="B19" s="183" t="s">
        <v>117</v>
      </c>
      <c r="C19" s="181" t="s">
        <v>515</v>
      </c>
      <c r="D19" s="181" t="s">
        <v>599</v>
      </c>
      <c r="E19" s="182" t="s">
        <v>689</v>
      </c>
      <c r="F19" s="182" t="s">
        <v>782</v>
      </c>
      <c r="G19" s="177" t="s">
        <v>3627</v>
      </c>
      <c r="H19" s="177" t="s">
        <v>871</v>
      </c>
      <c r="I19" s="177" t="s">
        <v>958</v>
      </c>
      <c r="J19" s="177" t="s">
        <v>1048</v>
      </c>
      <c r="K19" s="177" t="s">
        <v>3852</v>
      </c>
      <c r="L19" s="177" t="s">
        <v>1133</v>
      </c>
      <c r="M19" s="177" t="s">
        <v>1217</v>
      </c>
      <c r="N19" s="177" t="s">
        <v>515</v>
      </c>
      <c r="O19" s="183" t="s">
        <v>117</v>
      </c>
      <c r="P19" s="177" t="s">
        <v>1334</v>
      </c>
      <c r="Q19" s="177" t="s">
        <v>1416</v>
      </c>
      <c r="R19" s="177" t="s">
        <v>1492</v>
      </c>
      <c r="S19" s="177" t="s">
        <v>1217</v>
      </c>
      <c r="T19" s="177" t="s">
        <v>1634</v>
      </c>
      <c r="U19" s="177" t="s">
        <v>1727</v>
      </c>
      <c r="V19" s="177" t="s">
        <v>3916</v>
      </c>
      <c r="W19" s="177" t="s">
        <v>117</v>
      </c>
      <c r="X19" s="177" t="s">
        <v>1334</v>
      </c>
      <c r="Y19" s="177" t="s">
        <v>117</v>
      </c>
      <c r="Z19" s="177" t="s">
        <v>2010</v>
      </c>
      <c r="AA19" s="177" t="s">
        <v>2092</v>
      </c>
      <c r="AB19" s="177" t="s">
        <v>2184</v>
      </c>
      <c r="AC19" s="177" t="s">
        <v>1133</v>
      </c>
      <c r="AD19" s="177" t="s">
        <v>2359</v>
      </c>
      <c r="AE19" s="177" t="s">
        <v>117</v>
      </c>
      <c r="AF19" s="177" t="s">
        <v>2502</v>
      </c>
      <c r="AG19" s="177" t="s">
        <v>2585</v>
      </c>
      <c r="AH19" s="177" t="s">
        <v>1334</v>
      </c>
      <c r="AI19" s="177" t="s">
        <v>2723</v>
      </c>
      <c r="AJ19" s="177" t="s">
        <v>1334</v>
      </c>
      <c r="AK19" s="177" t="s">
        <v>2898</v>
      </c>
      <c r="AL19" s="177" t="s">
        <v>1334</v>
      </c>
      <c r="AM19" s="177" t="s">
        <v>3038</v>
      </c>
      <c r="AN19" s="177" t="s">
        <v>2359</v>
      </c>
      <c r="AO19" s="177" t="s">
        <v>3192</v>
      </c>
      <c r="AP19" s="177" t="s">
        <v>1133</v>
      </c>
      <c r="AQ19" s="177" t="s">
        <v>2898</v>
      </c>
      <c r="AR19" s="177" t="s">
        <v>3379</v>
      </c>
      <c r="AS19" s="177" t="s">
        <v>3448</v>
      </c>
      <c r="AT19" s="177" t="s">
        <v>3541</v>
      </c>
      <c r="AU19" s="177" t="s">
        <v>3627</v>
      </c>
      <c r="AV19" s="177" t="s">
        <v>3706</v>
      </c>
      <c r="AW19" s="181" t="str">
        <f>IF('Custom Language and Timezone'!E25&lt;&gt;"",'Custom Language and Timezone'!E25,'Custom Language and Timezone'!C25)</f>
        <v>Belgium</v>
      </c>
    </row>
    <row r="20" spans="1:49" x14ac:dyDescent="0.2">
      <c r="A20" s="181">
        <v>19</v>
      </c>
      <c r="B20" s="183" t="s">
        <v>17</v>
      </c>
      <c r="C20" s="183" t="s">
        <v>358</v>
      </c>
      <c r="D20" s="181" t="s">
        <v>600</v>
      </c>
      <c r="E20" s="183" t="s">
        <v>690</v>
      </c>
      <c r="F20" s="183" t="s">
        <v>783</v>
      </c>
      <c r="G20" s="177" t="s">
        <v>3628</v>
      </c>
      <c r="H20" s="177" t="s">
        <v>872</v>
      </c>
      <c r="I20" s="177" t="s">
        <v>959</v>
      </c>
      <c r="J20" s="177" t="s">
        <v>959</v>
      </c>
      <c r="K20" s="177" t="s">
        <v>3853</v>
      </c>
      <c r="L20" s="177" t="s">
        <v>1134</v>
      </c>
      <c r="M20" s="177" t="s">
        <v>360</v>
      </c>
      <c r="N20" s="177" t="s">
        <v>358</v>
      </c>
      <c r="O20" s="183" t="s">
        <v>17</v>
      </c>
      <c r="P20" s="177" t="s">
        <v>361</v>
      </c>
      <c r="Q20" s="177" t="s">
        <v>359</v>
      </c>
      <c r="R20" s="177" t="s">
        <v>1493</v>
      </c>
      <c r="S20" s="177" t="s">
        <v>360</v>
      </c>
      <c r="T20" s="177" t="s">
        <v>1635</v>
      </c>
      <c r="U20" s="177" t="s">
        <v>1728</v>
      </c>
      <c r="V20" s="177" t="s">
        <v>3917</v>
      </c>
      <c r="W20" s="177" t="s">
        <v>1819</v>
      </c>
      <c r="X20" s="177" t="s">
        <v>361</v>
      </c>
      <c r="Y20" s="177" t="s">
        <v>1979</v>
      </c>
      <c r="Z20" s="177" t="s">
        <v>361</v>
      </c>
      <c r="AA20" s="177" t="s">
        <v>2093</v>
      </c>
      <c r="AB20" s="177" t="s">
        <v>2185</v>
      </c>
      <c r="AC20" s="177" t="s">
        <v>1134</v>
      </c>
      <c r="AD20" s="177" t="s">
        <v>2360</v>
      </c>
      <c r="AE20" s="177" t="s">
        <v>600</v>
      </c>
      <c r="AF20" s="177" t="s">
        <v>2503</v>
      </c>
      <c r="AG20" s="177" t="s">
        <v>2586</v>
      </c>
      <c r="AH20" s="177" t="s">
        <v>361</v>
      </c>
      <c r="AI20" s="177" t="s">
        <v>2724</v>
      </c>
      <c r="AJ20" s="177" t="s">
        <v>2813</v>
      </c>
      <c r="AK20" s="177" t="s">
        <v>2899</v>
      </c>
      <c r="AL20" s="177" t="s">
        <v>361</v>
      </c>
      <c r="AM20" s="177" t="s">
        <v>783</v>
      </c>
      <c r="AN20" s="177" t="s">
        <v>2360</v>
      </c>
      <c r="AO20" s="177" t="s">
        <v>3193</v>
      </c>
      <c r="AP20" s="177" t="s">
        <v>1134</v>
      </c>
      <c r="AQ20" s="177" t="s">
        <v>361</v>
      </c>
      <c r="AR20" s="177" t="s">
        <v>3380</v>
      </c>
      <c r="AS20" s="177" t="s">
        <v>3449</v>
      </c>
      <c r="AT20" s="177" t="s">
        <v>3542</v>
      </c>
      <c r="AU20" s="177" t="s">
        <v>3628</v>
      </c>
      <c r="AV20" s="177" t="s">
        <v>3707</v>
      </c>
      <c r="AW20" s="181" t="str">
        <f>IF('Custom Language and Timezone'!E26&lt;&gt;"",'Custom Language and Timezone'!E26,'Custom Language and Timezone'!C26)</f>
        <v>Italy</v>
      </c>
    </row>
    <row r="21" spans="1:49" x14ac:dyDescent="0.2">
      <c r="A21" s="181">
        <v>20</v>
      </c>
      <c r="B21" s="181" t="s">
        <v>118</v>
      </c>
      <c r="C21" s="181" t="s">
        <v>516</v>
      </c>
      <c r="D21" s="181" t="s">
        <v>601</v>
      </c>
      <c r="E21" s="182" t="s">
        <v>691</v>
      </c>
      <c r="F21" s="182" t="s">
        <v>784</v>
      </c>
      <c r="G21" s="177" t="s">
        <v>3777</v>
      </c>
      <c r="H21" s="177" t="s">
        <v>873</v>
      </c>
      <c r="I21" s="177" t="s">
        <v>960</v>
      </c>
      <c r="J21" s="177" t="s">
        <v>1049</v>
      </c>
      <c r="K21" s="177" t="s">
        <v>3854</v>
      </c>
      <c r="L21" s="177" t="s">
        <v>1135</v>
      </c>
      <c r="M21" s="177" t="s">
        <v>1218</v>
      </c>
      <c r="N21" s="177" t="s">
        <v>1282</v>
      </c>
      <c r="O21" s="181" t="s">
        <v>118</v>
      </c>
      <c r="P21" s="177" t="s">
        <v>1335</v>
      </c>
      <c r="Q21" s="177" t="s">
        <v>1417</v>
      </c>
      <c r="R21" s="177" t="s">
        <v>1494</v>
      </c>
      <c r="S21" s="177" t="s">
        <v>1570</v>
      </c>
      <c r="T21" s="177" t="s">
        <v>1636</v>
      </c>
      <c r="U21" s="177" t="s">
        <v>1729</v>
      </c>
      <c r="V21" s="177" t="s">
        <v>3918</v>
      </c>
      <c r="W21" s="177" t="s">
        <v>1820</v>
      </c>
      <c r="X21" s="177" t="s">
        <v>1906</v>
      </c>
      <c r="Y21" s="177" t="s">
        <v>1980</v>
      </c>
      <c r="Z21" s="177" t="s">
        <v>2011</v>
      </c>
      <c r="AA21" s="177" t="s">
        <v>2094</v>
      </c>
      <c r="AB21" s="177" t="s">
        <v>2186</v>
      </c>
      <c r="AC21" s="177" t="s">
        <v>2272</v>
      </c>
      <c r="AD21" s="177" t="s">
        <v>2361</v>
      </c>
      <c r="AE21" s="177" t="s">
        <v>2431</v>
      </c>
      <c r="AF21" s="177" t="s">
        <v>2504</v>
      </c>
      <c r="AG21" s="177" t="s">
        <v>2587</v>
      </c>
      <c r="AH21" s="177" t="s">
        <v>2664</v>
      </c>
      <c r="AI21" s="177" t="s">
        <v>2725</v>
      </c>
      <c r="AJ21" s="177" t="s">
        <v>2814</v>
      </c>
      <c r="AK21" s="177" t="s">
        <v>2900</v>
      </c>
      <c r="AL21" s="177" t="s">
        <v>2976</v>
      </c>
      <c r="AM21" s="177" t="s">
        <v>3039</v>
      </c>
      <c r="AN21" s="177" t="s">
        <v>2361</v>
      </c>
      <c r="AO21" s="177" t="s">
        <v>3194</v>
      </c>
      <c r="AP21" s="177" t="s">
        <v>1135</v>
      </c>
      <c r="AQ21" s="177" t="s">
        <v>3311</v>
      </c>
      <c r="AR21" s="177" t="s">
        <v>118</v>
      </c>
      <c r="AS21" s="177" t="s">
        <v>3450</v>
      </c>
      <c r="AT21" s="177" t="s">
        <v>3543</v>
      </c>
      <c r="AU21" s="177" t="s">
        <v>3629</v>
      </c>
      <c r="AV21" s="177" t="s">
        <v>3708</v>
      </c>
      <c r="AW21" s="181" t="str">
        <f>IF('Custom Language and Timezone'!E27&lt;&gt;"",'Custom Language and Timezone'!E27,'Custom Language and Timezone'!C27)</f>
        <v>Republic of Ireland</v>
      </c>
    </row>
    <row r="22" spans="1:49" x14ac:dyDescent="0.2">
      <c r="A22" s="181">
        <v>21</v>
      </c>
      <c r="B22" s="181" t="s">
        <v>119</v>
      </c>
      <c r="C22" s="181" t="s">
        <v>517</v>
      </c>
      <c r="D22" s="181" t="s">
        <v>602</v>
      </c>
      <c r="E22" s="182" t="s">
        <v>692</v>
      </c>
      <c r="F22" s="182" t="s">
        <v>785</v>
      </c>
      <c r="G22" s="177" t="s">
        <v>3778</v>
      </c>
      <c r="H22" s="177" t="s">
        <v>874</v>
      </c>
      <c r="I22" s="177" t="s">
        <v>961</v>
      </c>
      <c r="J22" s="177" t="s">
        <v>961</v>
      </c>
      <c r="K22" s="177" t="s">
        <v>3195</v>
      </c>
      <c r="L22" s="177" t="s">
        <v>1136</v>
      </c>
      <c r="M22" s="177" t="s">
        <v>1219</v>
      </c>
      <c r="N22" s="177" t="s">
        <v>1283</v>
      </c>
      <c r="O22" s="181" t="s">
        <v>119</v>
      </c>
      <c r="P22" s="177" t="s">
        <v>1336</v>
      </c>
      <c r="Q22" s="177" t="s">
        <v>1418</v>
      </c>
      <c r="R22" s="177" t="s">
        <v>1495</v>
      </c>
      <c r="S22" s="177" t="s">
        <v>1571</v>
      </c>
      <c r="T22" s="177" t="s">
        <v>1637</v>
      </c>
      <c r="U22" s="177" t="s">
        <v>1730</v>
      </c>
      <c r="V22" s="177" t="s">
        <v>3919</v>
      </c>
      <c r="W22" s="177" t="s">
        <v>1821</v>
      </c>
      <c r="X22" s="177" t="s">
        <v>1907</v>
      </c>
      <c r="Y22" s="177" t="s">
        <v>1981</v>
      </c>
      <c r="Z22" s="177" t="s">
        <v>2012</v>
      </c>
      <c r="AA22" s="177" t="s">
        <v>2095</v>
      </c>
      <c r="AB22" s="177" t="s">
        <v>2187</v>
      </c>
      <c r="AC22" s="177" t="s">
        <v>2273</v>
      </c>
      <c r="AD22" s="177" t="s">
        <v>2362</v>
      </c>
      <c r="AE22" s="177" t="s">
        <v>119</v>
      </c>
      <c r="AF22" s="177" t="s">
        <v>2505</v>
      </c>
      <c r="AG22" s="177" t="s">
        <v>2588</v>
      </c>
      <c r="AH22" s="177" t="s">
        <v>1219</v>
      </c>
      <c r="AI22" s="177" t="s">
        <v>2726</v>
      </c>
      <c r="AJ22" s="177" t="s">
        <v>2815</v>
      </c>
      <c r="AK22" s="177" t="s">
        <v>2901</v>
      </c>
      <c r="AL22" s="177" t="s">
        <v>2977</v>
      </c>
      <c r="AM22" s="177" t="s">
        <v>785</v>
      </c>
      <c r="AN22" s="177" t="s">
        <v>2362</v>
      </c>
      <c r="AO22" s="177" t="s">
        <v>3195</v>
      </c>
      <c r="AP22" s="177" t="s">
        <v>1136</v>
      </c>
      <c r="AQ22" s="177" t="s">
        <v>3312</v>
      </c>
      <c r="AR22" s="177" t="s">
        <v>3381</v>
      </c>
      <c r="AS22" s="177" t="s">
        <v>3451</v>
      </c>
      <c r="AT22" s="177" t="s">
        <v>3544</v>
      </c>
      <c r="AU22" s="177" t="s">
        <v>3630</v>
      </c>
      <c r="AV22" s="177" t="s">
        <v>3709</v>
      </c>
      <c r="AW22" s="181" t="str">
        <f>IF('Custom Language and Timezone'!E28&lt;&gt;"",'Custom Language and Timezone'!E28,'Custom Language and Timezone'!C28)</f>
        <v>Sweden</v>
      </c>
    </row>
    <row r="23" spans="1:49" x14ac:dyDescent="0.2">
      <c r="A23" s="181">
        <v>22</v>
      </c>
      <c r="B23" s="183" t="s">
        <v>120</v>
      </c>
      <c r="C23" s="181" t="s">
        <v>120</v>
      </c>
      <c r="D23" s="181" t="s">
        <v>603</v>
      </c>
      <c r="E23" s="182" t="s">
        <v>693</v>
      </c>
      <c r="F23" s="182" t="s">
        <v>786</v>
      </c>
      <c r="G23" s="177" t="s">
        <v>3779</v>
      </c>
      <c r="H23" s="177" t="s">
        <v>120</v>
      </c>
      <c r="I23" s="177" t="s">
        <v>962</v>
      </c>
      <c r="J23" s="177" t="s">
        <v>962</v>
      </c>
      <c r="K23" s="177" t="s">
        <v>3196</v>
      </c>
      <c r="L23" s="177" t="s">
        <v>120</v>
      </c>
      <c r="M23" s="177" t="s">
        <v>120</v>
      </c>
      <c r="N23" s="177" t="s">
        <v>120</v>
      </c>
      <c r="O23" s="183" t="s">
        <v>120</v>
      </c>
      <c r="P23" s="177" t="s">
        <v>603</v>
      </c>
      <c r="Q23" s="177" t="s">
        <v>1419</v>
      </c>
      <c r="R23" s="177" t="s">
        <v>1496</v>
      </c>
      <c r="S23" s="177" t="s">
        <v>120</v>
      </c>
      <c r="T23" s="177" t="s">
        <v>1638</v>
      </c>
      <c r="U23" s="177" t="s">
        <v>1731</v>
      </c>
      <c r="V23" s="177" t="s">
        <v>3920</v>
      </c>
      <c r="W23" s="177" t="s">
        <v>1822</v>
      </c>
      <c r="X23" s="177" t="s">
        <v>120</v>
      </c>
      <c r="Y23" s="177" t="s">
        <v>120</v>
      </c>
      <c r="Z23" s="177" t="s">
        <v>2013</v>
      </c>
      <c r="AA23" s="177" t="s">
        <v>2096</v>
      </c>
      <c r="AB23" s="177" t="s">
        <v>2188</v>
      </c>
      <c r="AC23" s="177" t="s">
        <v>2274</v>
      </c>
      <c r="AD23" s="177" t="s">
        <v>2363</v>
      </c>
      <c r="AE23" s="177" t="s">
        <v>120</v>
      </c>
      <c r="AF23" s="177" t="s">
        <v>120</v>
      </c>
      <c r="AG23" s="177" t="s">
        <v>2589</v>
      </c>
      <c r="AH23" s="177" t="s">
        <v>120</v>
      </c>
      <c r="AI23" s="177" t="s">
        <v>2727</v>
      </c>
      <c r="AJ23" s="177" t="s">
        <v>2816</v>
      </c>
      <c r="AK23" s="177" t="s">
        <v>120</v>
      </c>
      <c r="AL23" s="177" t="s">
        <v>2816</v>
      </c>
      <c r="AM23" s="177" t="s">
        <v>786</v>
      </c>
      <c r="AN23" s="177" t="s">
        <v>2363</v>
      </c>
      <c r="AO23" s="177" t="s">
        <v>3196</v>
      </c>
      <c r="AP23" s="177" t="s">
        <v>3260</v>
      </c>
      <c r="AQ23" s="177" t="s">
        <v>120</v>
      </c>
      <c r="AR23" s="177" t="s">
        <v>3382</v>
      </c>
      <c r="AS23" s="177" t="s">
        <v>3452</v>
      </c>
      <c r="AT23" s="177" t="s">
        <v>3545</v>
      </c>
      <c r="AU23" s="177" t="s">
        <v>3631</v>
      </c>
      <c r="AV23" s="177" t="s">
        <v>3710</v>
      </c>
      <c r="AW23" s="181" t="str">
        <f>IF('Custom Language and Timezone'!E29&lt;&gt;"",'Custom Language and Timezone'!E29,'Custom Language and Timezone'!C29)</f>
        <v>Portugal</v>
      </c>
    </row>
    <row r="24" spans="1:49" x14ac:dyDescent="0.2">
      <c r="A24" s="181">
        <v>23</v>
      </c>
      <c r="B24" s="183" t="s">
        <v>121</v>
      </c>
      <c r="C24" s="183" t="s">
        <v>518</v>
      </c>
      <c r="D24" s="181" t="s">
        <v>604</v>
      </c>
      <c r="E24" s="183" t="s">
        <v>694</v>
      </c>
      <c r="F24" s="183" t="s">
        <v>787</v>
      </c>
      <c r="G24" s="177" t="s">
        <v>3780</v>
      </c>
      <c r="H24" s="177" t="s">
        <v>875</v>
      </c>
      <c r="I24" s="177" t="s">
        <v>963</v>
      </c>
      <c r="J24" s="177" t="s">
        <v>1050</v>
      </c>
      <c r="K24" s="177" t="s">
        <v>1137</v>
      </c>
      <c r="L24" s="177" t="s">
        <v>1137</v>
      </c>
      <c r="M24" s="177" t="s">
        <v>1137</v>
      </c>
      <c r="N24" s="177" t="s">
        <v>1284</v>
      </c>
      <c r="O24" s="183" t="s">
        <v>121</v>
      </c>
      <c r="P24" s="177" t="s">
        <v>1337</v>
      </c>
      <c r="Q24" s="177" t="s">
        <v>1420</v>
      </c>
      <c r="R24" s="177" t="s">
        <v>1497</v>
      </c>
      <c r="S24" s="177" t="s">
        <v>1137</v>
      </c>
      <c r="T24" s="177" t="s">
        <v>1639</v>
      </c>
      <c r="U24" s="177" t="s">
        <v>1732</v>
      </c>
      <c r="V24" s="177" t="s">
        <v>3921</v>
      </c>
      <c r="W24" s="177" t="s">
        <v>1823</v>
      </c>
      <c r="X24" s="177" t="s">
        <v>1908</v>
      </c>
      <c r="Y24" s="177" t="s">
        <v>121</v>
      </c>
      <c r="Z24" s="177" t="s">
        <v>2014</v>
      </c>
      <c r="AA24" s="177" t="s">
        <v>2097</v>
      </c>
      <c r="AB24" s="177" t="s">
        <v>2189</v>
      </c>
      <c r="AC24" s="177" t="s">
        <v>2275</v>
      </c>
      <c r="AD24" s="177" t="s">
        <v>2364</v>
      </c>
      <c r="AE24" s="177" t="s">
        <v>121</v>
      </c>
      <c r="AF24" s="177" t="s">
        <v>2014</v>
      </c>
      <c r="AG24" s="177" t="s">
        <v>2364</v>
      </c>
      <c r="AH24" s="177" t="s">
        <v>1137</v>
      </c>
      <c r="AI24" s="177" t="s">
        <v>2728</v>
      </c>
      <c r="AJ24" s="177" t="s">
        <v>1908</v>
      </c>
      <c r="AK24" s="177" t="s">
        <v>2902</v>
      </c>
      <c r="AL24" s="177" t="s">
        <v>2014</v>
      </c>
      <c r="AM24" s="177" t="s">
        <v>787</v>
      </c>
      <c r="AN24" s="177" t="s">
        <v>2364</v>
      </c>
      <c r="AO24" s="177" t="s">
        <v>1137</v>
      </c>
      <c r="AP24" s="177" t="s">
        <v>2275</v>
      </c>
      <c r="AQ24" s="177" t="s">
        <v>1908</v>
      </c>
      <c r="AR24" s="177" t="s">
        <v>3383</v>
      </c>
      <c r="AS24" s="177" t="s">
        <v>3453</v>
      </c>
      <c r="AT24" s="177" t="s">
        <v>3546</v>
      </c>
      <c r="AU24" s="177" t="s">
        <v>3632</v>
      </c>
      <c r="AV24" s="177" t="s">
        <v>121</v>
      </c>
      <c r="AW24" s="181" t="str">
        <f>IF('Custom Language and Timezone'!E30&lt;&gt;"",'Custom Language and Timezone'!E30,'Custom Language and Timezone'!C30)</f>
        <v>Iceland</v>
      </c>
    </row>
    <row r="25" spans="1:49" x14ac:dyDescent="0.2">
      <c r="A25" s="181">
        <v>24</v>
      </c>
      <c r="B25" s="183" t="s">
        <v>122</v>
      </c>
      <c r="C25" s="183" t="s">
        <v>519</v>
      </c>
      <c r="D25" s="181" t="s">
        <v>605</v>
      </c>
      <c r="E25" s="183" t="s">
        <v>695</v>
      </c>
      <c r="F25" s="183" t="s">
        <v>788</v>
      </c>
      <c r="G25" s="177" t="s">
        <v>3781</v>
      </c>
      <c r="H25" s="177" t="s">
        <v>876</v>
      </c>
      <c r="I25" s="177" t="s">
        <v>964</v>
      </c>
      <c r="J25" s="177" t="s">
        <v>1051</v>
      </c>
      <c r="K25" s="177" t="s">
        <v>3855</v>
      </c>
      <c r="L25" s="177" t="s">
        <v>1138</v>
      </c>
      <c r="M25" s="177" t="s">
        <v>1220</v>
      </c>
      <c r="N25" s="177" t="s">
        <v>1285</v>
      </c>
      <c r="O25" s="183" t="s">
        <v>122</v>
      </c>
      <c r="P25" s="177" t="s">
        <v>1338</v>
      </c>
      <c r="Q25" s="177" t="s">
        <v>1421</v>
      </c>
      <c r="R25" s="177" t="s">
        <v>1498</v>
      </c>
      <c r="S25" s="177" t="s">
        <v>1572</v>
      </c>
      <c r="T25" s="177" t="s">
        <v>1640</v>
      </c>
      <c r="U25" s="177" t="s">
        <v>1733</v>
      </c>
      <c r="V25" s="177" t="s">
        <v>3922</v>
      </c>
      <c r="W25" s="177" t="s">
        <v>1824</v>
      </c>
      <c r="X25" s="177" t="s">
        <v>122</v>
      </c>
      <c r="Y25" s="177" t="s">
        <v>122</v>
      </c>
      <c r="Z25" s="177" t="s">
        <v>122</v>
      </c>
      <c r="AA25" s="177" t="s">
        <v>2098</v>
      </c>
      <c r="AB25" s="177" t="s">
        <v>2190</v>
      </c>
      <c r="AC25" s="177" t="s">
        <v>1138</v>
      </c>
      <c r="AD25" s="177" t="s">
        <v>2365</v>
      </c>
      <c r="AE25" s="177" t="s">
        <v>122</v>
      </c>
      <c r="AF25" s="177" t="s">
        <v>2506</v>
      </c>
      <c r="AG25" s="177" t="s">
        <v>2590</v>
      </c>
      <c r="AH25" s="177" t="s">
        <v>2665</v>
      </c>
      <c r="AI25" s="177" t="s">
        <v>2729</v>
      </c>
      <c r="AJ25" s="177" t="s">
        <v>122</v>
      </c>
      <c r="AK25" s="177" t="s">
        <v>2903</v>
      </c>
      <c r="AL25" s="177" t="s">
        <v>122</v>
      </c>
      <c r="AM25" s="177" t="s">
        <v>788</v>
      </c>
      <c r="AN25" s="177" t="s">
        <v>3116</v>
      </c>
      <c r="AO25" s="177" t="s">
        <v>3197</v>
      </c>
      <c r="AP25" s="177" t="s">
        <v>3261</v>
      </c>
      <c r="AQ25" s="177" t="s">
        <v>122</v>
      </c>
      <c r="AR25" s="177" t="s">
        <v>3384</v>
      </c>
      <c r="AS25" s="177" t="s">
        <v>3454</v>
      </c>
      <c r="AT25" s="177" t="s">
        <v>3547</v>
      </c>
      <c r="AU25" s="177" t="s">
        <v>3633</v>
      </c>
      <c r="AV25" s="177" t="s">
        <v>3711</v>
      </c>
      <c r="AW25" s="181" t="str">
        <f>IF('Custom Language and Timezone'!E31&lt;&gt;"",'Custom Language and Timezone'!E31,'Custom Language and Timezone'!C31)</f>
        <v>Austria</v>
      </c>
    </row>
    <row r="26" spans="1:49" x14ac:dyDescent="0.2">
      <c r="A26" s="181">
        <v>25</v>
      </c>
      <c r="B26" s="183" t="s">
        <v>123</v>
      </c>
      <c r="C26" s="181" t="s">
        <v>520</v>
      </c>
      <c r="D26" s="181" t="s">
        <v>606</v>
      </c>
      <c r="E26" s="182" t="s">
        <v>696</v>
      </c>
      <c r="F26" s="182" t="s">
        <v>789</v>
      </c>
      <c r="G26" s="177" t="s">
        <v>3782</v>
      </c>
      <c r="H26" s="177" t="s">
        <v>877</v>
      </c>
      <c r="I26" s="177" t="s">
        <v>965</v>
      </c>
      <c r="J26" s="177" t="s">
        <v>965</v>
      </c>
      <c r="K26" s="177" t="s">
        <v>3198</v>
      </c>
      <c r="L26" s="177" t="s">
        <v>1139</v>
      </c>
      <c r="M26" s="177" t="s">
        <v>1221</v>
      </c>
      <c r="N26" s="177" t="s">
        <v>1286</v>
      </c>
      <c r="O26" s="183" t="s">
        <v>123</v>
      </c>
      <c r="P26" s="177" t="s">
        <v>1339</v>
      </c>
      <c r="Q26" s="177" t="s">
        <v>1422</v>
      </c>
      <c r="R26" s="177" t="s">
        <v>1499</v>
      </c>
      <c r="S26" s="177" t="s">
        <v>1221</v>
      </c>
      <c r="T26" s="177" t="s">
        <v>1641</v>
      </c>
      <c r="U26" s="177" t="s">
        <v>1734</v>
      </c>
      <c r="V26" s="177" t="s">
        <v>3923</v>
      </c>
      <c r="W26" s="177" t="s">
        <v>1825</v>
      </c>
      <c r="X26" s="177" t="s">
        <v>1909</v>
      </c>
      <c r="Y26" s="177" t="s">
        <v>1982</v>
      </c>
      <c r="Z26" s="177" t="s">
        <v>2015</v>
      </c>
      <c r="AA26" s="177" t="s">
        <v>2099</v>
      </c>
      <c r="AB26" s="177" t="s">
        <v>2191</v>
      </c>
      <c r="AC26" s="177" t="s">
        <v>2276</v>
      </c>
      <c r="AD26" s="177" t="s">
        <v>2366</v>
      </c>
      <c r="AE26" s="177" t="s">
        <v>123</v>
      </c>
      <c r="AF26" s="177" t="s">
        <v>2507</v>
      </c>
      <c r="AG26" s="177" t="s">
        <v>2591</v>
      </c>
      <c r="AH26" s="177" t="s">
        <v>1221</v>
      </c>
      <c r="AI26" s="177" t="s">
        <v>2730</v>
      </c>
      <c r="AJ26" s="177" t="s">
        <v>2817</v>
      </c>
      <c r="AK26" s="177" t="s">
        <v>2904</v>
      </c>
      <c r="AL26" s="177" t="s">
        <v>2978</v>
      </c>
      <c r="AM26" s="177" t="s">
        <v>3040</v>
      </c>
      <c r="AN26" s="177" t="s">
        <v>3117</v>
      </c>
      <c r="AO26" s="177" t="s">
        <v>3198</v>
      </c>
      <c r="AP26" s="177" t="s">
        <v>3262</v>
      </c>
      <c r="AQ26" s="177" t="s">
        <v>3313</v>
      </c>
      <c r="AR26" s="177" t="s">
        <v>3385</v>
      </c>
      <c r="AS26" s="177" t="s">
        <v>3455</v>
      </c>
      <c r="AT26" s="177" t="s">
        <v>3548</v>
      </c>
      <c r="AU26" s="177" t="s">
        <v>3634</v>
      </c>
      <c r="AV26" s="177" t="s">
        <v>123</v>
      </c>
      <c r="AW26" s="181" t="str">
        <f>IF('Custom Language and Timezone'!E32&lt;&gt;"",'Custom Language and Timezone'!E32,'Custom Language and Timezone'!C32)</f>
        <v>Hungary</v>
      </c>
    </row>
    <row r="27" spans="1:49" x14ac:dyDescent="0.2">
      <c r="A27" s="181">
        <v>26</v>
      </c>
      <c r="B27" s="186" t="s">
        <v>124</v>
      </c>
      <c r="C27" s="181" t="s">
        <v>370</v>
      </c>
      <c r="D27" s="181" t="s">
        <v>607</v>
      </c>
      <c r="E27" s="182" t="s">
        <v>697</v>
      </c>
      <c r="F27" s="182" t="s">
        <v>790</v>
      </c>
      <c r="G27" s="177" t="s">
        <v>3635</v>
      </c>
      <c r="H27" s="177" t="s">
        <v>373</v>
      </c>
      <c r="I27" s="177" t="s">
        <v>966</v>
      </c>
      <c r="J27" s="177" t="s">
        <v>1052</v>
      </c>
      <c r="K27" s="177" t="s">
        <v>3199</v>
      </c>
      <c r="L27" s="177" t="s">
        <v>1140</v>
      </c>
      <c r="M27" s="177" t="s">
        <v>1222</v>
      </c>
      <c r="N27" s="177" t="s">
        <v>370</v>
      </c>
      <c r="O27" s="181" t="s">
        <v>124</v>
      </c>
      <c r="P27" s="177" t="s">
        <v>1340</v>
      </c>
      <c r="Q27" s="177" t="s">
        <v>371</v>
      </c>
      <c r="R27" s="177" t="s">
        <v>1500</v>
      </c>
      <c r="S27" s="177" t="s">
        <v>372</v>
      </c>
      <c r="T27" s="177" t="s">
        <v>1642</v>
      </c>
      <c r="U27" s="177" t="s">
        <v>1735</v>
      </c>
      <c r="V27" s="177" t="s">
        <v>3924</v>
      </c>
      <c r="W27" s="177" t="s">
        <v>1826</v>
      </c>
      <c r="X27" s="177" t="s">
        <v>1910</v>
      </c>
      <c r="Y27" s="177" t="s">
        <v>1983</v>
      </c>
      <c r="Z27" s="177" t="s">
        <v>2016</v>
      </c>
      <c r="AA27" s="177" t="s">
        <v>2100</v>
      </c>
      <c r="AB27" s="177" t="s">
        <v>2192</v>
      </c>
      <c r="AC27" s="177" t="s">
        <v>2277</v>
      </c>
      <c r="AD27" s="177" t="s">
        <v>2367</v>
      </c>
      <c r="AE27" s="177" t="s">
        <v>1910</v>
      </c>
      <c r="AF27" s="177" t="s">
        <v>2508</v>
      </c>
      <c r="AG27" s="177" t="s">
        <v>2592</v>
      </c>
      <c r="AH27" s="177" t="s">
        <v>2666</v>
      </c>
      <c r="AI27" s="177" t="s">
        <v>2731</v>
      </c>
      <c r="AJ27" s="177" t="s">
        <v>2818</v>
      </c>
      <c r="AK27" s="177" t="s">
        <v>373</v>
      </c>
      <c r="AL27" s="177" t="s">
        <v>2979</v>
      </c>
      <c r="AM27" s="177" t="s">
        <v>3041</v>
      </c>
      <c r="AN27" s="177" t="s">
        <v>3118</v>
      </c>
      <c r="AO27" s="177" t="s">
        <v>3199</v>
      </c>
      <c r="AP27" s="177" t="s">
        <v>124</v>
      </c>
      <c r="AQ27" s="177" t="s">
        <v>3314</v>
      </c>
      <c r="AR27" s="177" t="s">
        <v>2666</v>
      </c>
      <c r="AS27" s="177" t="s">
        <v>3456</v>
      </c>
      <c r="AT27" s="177" t="s">
        <v>3549</v>
      </c>
      <c r="AU27" s="177" t="s">
        <v>3635</v>
      </c>
      <c r="AV27" s="177" t="s">
        <v>3712</v>
      </c>
      <c r="AW27" s="181" t="str">
        <f>IF('Custom Language and Timezone'!E33&lt;&gt;"",'Custom Language and Timezone'!E33,'Custom Language and Timezone'!C33)</f>
        <v>Language</v>
      </c>
    </row>
    <row r="28" spans="1:49" x14ac:dyDescent="0.2">
      <c r="A28" s="181">
        <v>27</v>
      </c>
      <c r="B28" s="186" t="s">
        <v>125</v>
      </c>
      <c r="C28" s="181" t="s">
        <v>521</v>
      </c>
      <c r="D28" s="181" t="s">
        <v>396</v>
      </c>
      <c r="E28" s="182" t="s">
        <v>698</v>
      </c>
      <c r="F28" s="182" t="s">
        <v>791</v>
      </c>
      <c r="G28" s="177" t="s">
        <v>3783</v>
      </c>
      <c r="H28" s="177" t="s">
        <v>878</v>
      </c>
      <c r="I28" s="177" t="s">
        <v>967</v>
      </c>
      <c r="J28" s="177" t="s">
        <v>1053</v>
      </c>
      <c r="K28" s="177" t="s">
        <v>3856</v>
      </c>
      <c r="L28" s="177" t="s">
        <v>1141</v>
      </c>
      <c r="M28" s="177" t="s">
        <v>1223</v>
      </c>
      <c r="N28" s="177" t="s">
        <v>374</v>
      </c>
      <c r="O28" s="181" t="s">
        <v>125</v>
      </c>
      <c r="P28" s="177" t="s">
        <v>1341</v>
      </c>
      <c r="Q28" s="177" t="s">
        <v>375</v>
      </c>
      <c r="R28" s="177" t="s">
        <v>1501</v>
      </c>
      <c r="S28" s="177" t="s">
        <v>376</v>
      </c>
      <c r="T28" s="177" t="s">
        <v>1643</v>
      </c>
      <c r="U28" s="177" t="s">
        <v>1736</v>
      </c>
      <c r="V28" s="177" t="s">
        <v>3925</v>
      </c>
      <c r="W28" s="177" t="s">
        <v>1827</v>
      </c>
      <c r="X28" s="177" t="s">
        <v>1911</v>
      </c>
      <c r="Y28" s="177" t="s">
        <v>1984</v>
      </c>
      <c r="Z28" s="177" t="s">
        <v>377</v>
      </c>
      <c r="AA28" s="177" t="s">
        <v>2101</v>
      </c>
      <c r="AB28" s="177" t="s">
        <v>2193</v>
      </c>
      <c r="AC28" s="177" t="s">
        <v>2278</v>
      </c>
      <c r="AD28" s="177" t="s">
        <v>2368</v>
      </c>
      <c r="AE28" s="177" t="s">
        <v>2432</v>
      </c>
      <c r="AF28" s="177" t="s">
        <v>2509</v>
      </c>
      <c r="AG28" s="177" t="s">
        <v>2593</v>
      </c>
      <c r="AH28" s="177" t="s">
        <v>2667</v>
      </c>
      <c r="AI28" s="177" t="s">
        <v>2732</v>
      </c>
      <c r="AJ28" s="177" t="s">
        <v>2819</v>
      </c>
      <c r="AK28" s="177" t="s">
        <v>2905</v>
      </c>
      <c r="AL28" s="177" t="s">
        <v>2980</v>
      </c>
      <c r="AM28" s="177" t="s">
        <v>3042</v>
      </c>
      <c r="AN28" s="177" t="s">
        <v>1141</v>
      </c>
      <c r="AO28" s="177" t="s">
        <v>3200</v>
      </c>
      <c r="AP28" s="177" t="s">
        <v>3263</v>
      </c>
      <c r="AQ28" s="177" t="s">
        <v>3315</v>
      </c>
      <c r="AR28" s="177" t="s">
        <v>3386</v>
      </c>
      <c r="AS28" s="177" t="s">
        <v>3457</v>
      </c>
      <c r="AT28" s="177" t="s">
        <v>3550</v>
      </c>
      <c r="AU28" s="177" t="s">
        <v>3636</v>
      </c>
      <c r="AV28" s="177" t="s">
        <v>3713</v>
      </c>
      <c r="AW28" s="181" t="str">
        <f>IF('Custom Language and Timezone'!E34&lt;&gt;"",'Custom Language and Timezone'!E34,'Custom Language and Timezone'!C34)</f>
        <v>Timezone</v>
      </c>
    </row>
    <row r="29" spans="1:49" x14ac:dyDescent="0.2">
      <c r="A29" s="181">
        <v>28</v>
      </c>
      <c r="B29" s="186" t="s">
        <v>126</v>
      </c>
      <c r="C29" s="181" t="s">
        <v>522</v>
      </c>
      <c r="D29" s="181" t="s">
        <v>608</v>
      </c>
      <c r="E29" s="182" t="s">
        <v>699</v>
      </c>
      <c r="F29" s="182" t="s">
        <v>792</v>
      </c>
      <c r="G29" s="177" t="s">
        <v>3784</v>
      </c>
      <c r="H29" s="177" t="s">
        <v>879</v>
      </c>
      <c r="I29" s="177" t="s">
        <v>968</v>
      </c>
      <c r="J29" s="177" t="s">
        <v>1054</v>
      </c>
      <c r="K29" s="177" t="s">
        <v>3201</v>
      </c>
      <c r="L29" s="177" t="s">
        <v>1142</v>
      </c>
      <c r="M29" s="177" t="s">
        <v>1224</v>
      </c>
      <c r="N29" s="177" t="s">
        <v>1287</v>
      </c>
      <c r="O29" s="181" t="s">
        <v>126</v>
      </c>
      <c r="P29" s="177" t="s">
        <v>1342</v>
      </c>
      <c r="Q29" s="177" t="s">
        <v>1423</v>
      </c>
      <c r="R29" s="177" t="s">
        <v>1502</v>
      </c>
      <c r="S29" s="177" t="s">
        <v>378</v>
      </c>
      <c r="T29" s="177" t="s">
        <v>1644</v>
      </c>
      <c r="U29" s="177" t="s">
        <v>1737</v>
      </c>
      <c r="V29" s="177" t="s">
        <v>3926</v>
      </c>
      <c r="W29" s="177" t="s">
        <v>1828</v>
      </c>
      <c r="X29" s="177" t="s">
        <v>1912</v>
      </c>
      <c r="Y29" s="177" t="s">
        <v>1985</v>
      </c>
      <c r="Z29" s="177" t="s">
        <v>2017</v>
      </c>
      <c r="AA29" s="177" t="s">
        <v>2102</v>
      </c>
      <c r="AB29" s="177" t="s">
        <v>2194</v>
      </c>
      <c r="AC29" s="177" t="s">
        <v>2279</v>
      </c>
      <c r="AD29" s="177" t="s">
        <v>2369</v>
      </c>
      <c r="AE29" s="177" t="s">
        <v>2433</v>
      </c>
      <c r="AF29" s="177" t="s">
        <v>2510</v>
      </c>
      <c r="AG29" s="177" t="s">
        <v>2594</v>
      </c>
      <c r="AH29" s="177" t="s">
        <v>2668</v>
      </c>
      <c r="AI29" s="177" t="s">
        <v>2733</v>
      </c>
      <c r="AJ29" s="177" t="s">
        <v>2820</v>
      </c>
      <c r="AK29" s="177" t="s">
        <v>379</v>
      </c>
      <c r="AL29" s="177" t="s">
        <v>2981</v>
      </c>
      <c r="AM29" s="177" t="s">
        <v>3043</v>
      </c>
      <c r="AN29" s="177" t="s">
        <v>3119</v>
      </c>
      <c r="AO29" s="177" t="s">
        <v>3201</v>
      </c>
      <c r="AP29" s="177" t="s">
        <v>3264</v>
      </c>
      <c r="AQ29" s="177" t="s">
        <v>3316</v>
      </c>
      <c r="AR29" s="177" t="s">
        <v>3387</v>
      </c>
      <c r="AS29" s="177" t="s">
        <v>3458</v>
      </c>
      <c r="AT29" s="177" t="s">
        <v>3551</v>
      </c>
      <c r="AU29" s="177" t="s">
        <v>792</v>
      </c>
      <c r="AV29" s="177" t="s">
        <v>3714</v>
      </c>
      <c r="AW29" s="181" t="str">
        <f>IF('Custom Language and Timezone'!E35&lt;&gt;"",'Custom Language and Timezone'!E35,'Custom Language and Timezone'!C35)</f>
        <v>Group Stages</v>
      </c>
    </row>
    <row r="30" spans="1:49" x14ac:dyDescent="0.2">
      <c r="A30" s="181">
        <v>29</v>
      </c>
      <c r="B30" s="186" t="s">
        <v>45</v>
      </c>
      <c r="C30" s="183" t="s">
        <v>523</v>
      </c>
      <c r="D30" s="181" t="s">
        <v>609</v>
      </c>
      <c r="E30" s="183" t="s">
        <v>700</v>
      </c>
      <c r="F30" s="182" t="s">
        <v>793</v>
      </c>
      <c r="G30" s="177" t="s">
        <v>3785</v>
      </c>
      <c r="H30" s="177" t="s">
        <v>880</v>
      </c>
      <c r="I30" s="177" t="s">
        <v>969</v>
      </c>
      <c r="J30" s="177" t="s">
        <v>1055</v>
      </c>
      <c r="K30" s="177" t="s">
        <v>3857</v>
      </c>
      <c r="L30" s="177" t="s">
        <v>1143</v>
      </c>
      <c r="M30" s="177" t="s">
        <v>45</v>
      </c>
      <c r="N30" s="177" t="s">
        <v>1288</v>
      </c>
      <c r="O30" s="181" t="s">
        <v>45</v>
      </c>
      <c r="P30" s="177" t="s">
        <v>1343</v>
      </c>
      <c r="Q30" s="177" t="s">
        <v>1424</v>
      </c>
      <c r="R30" s="177" t="s">
        <v>1503</v>
      </c>
      <c r="S30" s="177" t="s">
        <v>1573</v>
      </c>
      <c r="T30" s="177" t="s">
        <v>1645</v>
      </c>
      <c r="U30" s="177" t="s">
        <v>1738</v>
      </c>
      <c r="V30" s="177" t="s">
        <v>3927</v>
      </c>
      <c r="W30" s="177" t="s">
        <v>1829</v>
      </c>
      <c r="X30" s="177" t="s">
        <v>1913</v>
      </c>
      <c r="Y30" s="177" t="s">
        <v>45</v>
      </c>
      <c r="Z30" s="177" t="s">
        <v>2018</v>
      </c>
      <c r="AA30" s="177" t="s">
        <v>2103</v>
      </c>
      <c r="AB30" s="177" t="s">
        <v>2195</v>
      </c>
      <c r="AC30" s="177" t="s">
        <v>2280</v>
      </c>
      <c r="AD30" s="177" t="s">
        <v>2370</v>
      </c>
      <c r="AE30" s="177" t="s">
        <v>2434</v>
      </c>
      <c r="AF30" s="177" t="s">
        <v>2511</v>
      </c>
      <c r="AG30" s="177" t="s">
        <v>2595</v>
      </c>
      <c r="AH30" s="177" t="s">
        <v>2669</v>
      </c>
      <c r="AI30" s="177" t="s">
        <v>2734</v>
      </c>
      <c r="AJ30" s="177" t="s">
        <v>2821</v>
      </c>
      <c r="AK30" s="177" t="s">
        <v>2906</v>
      </c>
      <c r="AL30" s="177" t="s">
        <v>2982</v>
      </c>
      <c r="AM30" s="177" t="s">
        <v>3044</v>
      </c>
      <c r="AN30" s="177" t="s">
        <v>2370</v>
      </c>
      <c r="AO30" s="177" t="s">
        <v>3202</v>
      </c>
      <c r="AP30" s="177" t="s">
        <v>2824</v>
      </c>
      <c r="AQ30" s="177" t="s">
        <v>3317</v>
      </c>
      <c r="AR30" s="177" t="s">
        <v>3388</v>
      </c>
      <c r="AS30" s="177" t="s">
        <v>3459</v>
      </c>
      <c r="AT30" s="177" t="s">
        <v>3552</v>
      </c>
      <c r="AU30" s="177" t="s">
        <v>3637</v>
      </c>
      <c r="AV30" s="177" t="s">
        <v>3715</v>
      </c>
      <c r="AW30" s="181" t="str">
        <f>IF('Custom Language and Timezone'!E36&lt;&gt;"",'Custom Language and Timezone'!E36,'Custom Language and Timezone'!C36)</f>
        <v>Venue</v>
      </c>
    </row>
    <row r="31" spans="1:49" x14ac:dyDescent="0.2">
      <c r="A31" s="181">
        <v>30</v>
      </c>
      <c r="B31" s="186" t="s">
        <v>11</v>
      </c>
      <c r="C31" s="181" t="s">
        <v>524</v>
      </c>
      <c r="D31" s="181" t="s">
        <v>610</v>
      </c>
      <c r="E31" s="182" t="s">
        <v>701</v>
      </c>
      <c r="F31" s="182" t="s">
        <v>794</v>
      </c>
      <c r="G31" s="177" t="s">
        <v>3786</v>
      </c>
      <c r="H31" s="177" t="s">
        <v>881</v>
      </c>
      <c r="I31" s="177" t="s">
        <v>970</v>
      </c>
      <c r="J31" s="177" t="s">
        <v>1056</v>
      </c>
      <c r="K31" s="177" t="s">
        <v>3858</v>
      </c>
      <c r="L31" s="177" t="s">
        <v>1144</v>
      </c>
      <c r="M31" s="177" t="s">
        <v>11</v>
      </c>
      <c r="N31" s="177" t="s">
        <v>1289</v>
      </c>
      <c r="O31" s="181" t="s">
        <v>11</v>
      </c>
      <c r="P31" s="177" t="s">
        <v>1344</v>
      </c>
      <c r="Q31" s="177" t="s">
        <v>381</v>
      </c>
      <c r="R31" s="177" t="s">
        <v>1504</v>
      </c>
      <c r="S31" s="177" t="s">
        <v>1574</v>
      </c>
      <c r="T31" s="177" t="s">
        <v>1646</v>
      </c>
      <c r="U31" s="177" t="s">
        <v>1739</v>
      </c>
      <c r="V31" s="177" t="s">
        <v>3928</v>
      </c>
      <c r="W31" s="177" t="s">
        <v>1830</v>
      </c>
      <c r="X31" s="177" t="s">
        <v>1914</v>
      </c>
      <c r="Y31" s="177" t="s">
        <v>1986</v>
      </c>
      <c r="Z31" s="177" t="s">
        <v>2019</v>
      </c>
      <c r="AA31" s="177" t="s">
        <v>2104</v>
      </c>
      <c r="AB31" s="177" t="s">
        <v>2196</v>
      </c>
      <c r="AC31" s="177" t="s">
        <v>2281</v>
      </c>
      <c r="AD31" s="177" t="s">
        <v>2371</v>
      </c>
      <c r="AE31" s="177" t="s">
        <v>2435</v>
      </c>
      <c r="AF31" s="177" t="s">
        <v>2512</v>
      </c>
      <c r="AG31" s="177" t="s">
        <v>2596</v>
      </c>
      <c r="AH31" s="177" t="s">
        <v>2670</v>
      </c>
      <c r="AI31" s="177" t="s">
        <v>2735</v>
      </c>
      <c r="AJ31" s="177" t="s">
        <v>2822</v>
      </c>
      <c r="AK31" s="177" t="s">
        <v>2907</v>
      </c>
      <c r="AL31" s="177" t="s">
        <v>2983</v>
      </c>
      <c r="AM31" s="177" t="s">
        <v>3045</v>
      </c>
      <c r="AN31" s="177" t="s">
        <v>3120</v>
      </c>
      <c r="AO31" s="177" t="s">
        <v>3203</v>
      </c>
      <c r="AP31" s="177" t="s">
        <v>3265</v>
      </c>
      <c r="AQ31" s="177" t="s">
        <v>3318</v>
      </c>
      <c r="AR31" s="177" t="s">
        <v>380</v>
      </c>
      <c r="AS31" s="177" t="s">
        <v>3460</v>
      </c>
      <c r="AT31" s="177" t="s">
        <v>3553</v>
      </c>
      <c r="AU31" s="177" t="s">
        <v>3638</v>
      </c>
      <c r="AV31" s="177" t="s">
        <v>3716</v>
      </c>
      <c r="AW31" s="181" t="str">
        <f>IF('Custom Language and Timezone'!E37&lt;&gt;"",'Custom Language and Timezone'!E37,'Custom Language and Timezone'!C37)</f>
        <v>Standings</v>
      </c>
    </row>
    <row r="32" spans="1:49" x14ac:dyDescent="0.2">
      <c r="A32" s="181">
        <v>31</v>
      </c>
      <c r="B32" s="186" t="s">
        <v>8</v>
      </c>
      <c r="C32" s="181" t="s">
        <v>382</v>
      </c>
      <c r="D32" s="181" t="s">
        <v>611</v>
      </c>
      <c r="E32" s="182" t="s">
        <v>702</v>
      </c>
      <c r="F32" s="182" t="s">
        <v>795</v>
      </c>
      <c r="G32" s="177" t="s">
        <v>795</v>
      </c>
      <c r="H32" s="177" t="s">
        <v>611</v>
      </c>
      <c r="I32" s="177" t="s">
        <v>971</v>
      </c>
      <c r="J32" s="177" t="s">
        <v>1057</v>
      </c>
      <c r="K32" s="177" t="s">
        <v>1145</v>
      </c>
      <c r="L32" s="177" t="s">
        <v>1145</v>
      </c>
      <c r="M32" s="177" t="s">
        <v>384</v>
      </c>
      <c r="N32" s="177" t="s">
        <v>382</v>
      </c>
      <c r="O32" s="181" t="s">
        <v>8</v>
      </c>
      <c r="P32" s="177" t="s">
        <v>1345</v>
      </c>
      <c r="Q32" s="177" t="s">
        <v>383</v>
      </c>
      <c r="R32" s="177" t="s">
        <v>1505</v>
      </c>
      <c r="S32" s="177" t="s">
        <v>384</v>
      </c>
      <c r="T32" s="177" t="s">
        <v>1647</v>
      </c>
      <c r="U32" s="177" t="s">
        <v>1740</v>
      </c>
      <c r="V32" s="177" t="s">
        <v>3929</v>
      </c>
      <c r="W32" s="177" t="s">
        <v>1831</v>
      </c>
      <c r="X32" s="177" t="s">
        <v>1915</v>
      </c>
      <c r="Y32" s="177" t="s">
        <v>8</v>
      </c>
      <c r="Z32" s="177" t="s">
        <v>385</v>
      </c>
      <c r="AA32" s="177" t="s">
        <v>2105</v>
      </c>
      <c r="AB32" s="177" t="s">
        <v>2197</v>
      </c>
      <c r="AC32" s="177" t="s">
        <v>2282</v>
      </c>
      <c r="AD32" s="177" t="s">
        <v>795</v>
      </c>
      <c r="AE32" s="177" t="s">
        <v>2436</v>
      </c>
      <c r="AF32" s="177" t="s">
        <v>2513</v>
      </c>
      <c r="AG32" s="177" t="s">
        <v>2597</v>
      </c>
      <c r="AH32" s="177" t="s">
        <v>384</v>
      </c>
      <c r="AI32" s="177" t="s">
        <v>2736</v>
      </c>
      <c r="AJ32" s="177" t="s">
        <v>2823</v>
      </c>
      <c r="AK32" s="177" t="s">
        <v>386</v>
      </c>
      <c r="AL32" s="177" t="s">
        <v>611</v>
      </c>
      <c r="AM32" s="177" t="s">
        <v>3046</v>
      </c>
      <c r="AN32" s="177" t="s">
        <v>3121</v>
      </c>
      <c r="AO32" s="177" t="s">
        <v>8</v>
      </c>
      <c r="AP32" s="177" t="s">
        <v>1145</v>
      </c>
      <c r="AQ32" s="177" t="s">
        <v>386</v>
      </c>
      <c r="AR32" s="177" t="s">
        <v>2513</v>
      </c>
      <c r="AS32" s="177" t="s">
        <v>3461</v>
      </c>
      <c r="AT32" s="177" t="s">
        <v>611</v>
      </c>
      <c r="AU32" s="177" t="s">
        <v>795</v>
      </c>
      <c r="AV32" s="177" t="s">
        <v>3717</v>
      </c>
      <c r="AW32" s="181" t="str">
        <f>IF('Custom Language and Timezone'!E38&lt;&gt;"",'Custom Language and Timezone'!E38,'Custom Language and Timezone'!C38)</f>
        <v>Group</v>
      </c>
    </row>
    <row r="33" spans="1:49" x14ac:dyDescent="0.2">
      <c r="A33" s="181">
        <v>32</v>
      </c>
      <c r="B33" s="186" t="s">
        <v>15</v>
      </c>
      <c r="C33" s="181" t="s">
        <v>387</v>
      </c>
      <c r="D33" s="181" t="s">
        <v>388</v>
      </c>
      <c r="E33" s="182" t="s">
        <v>703</v>
      </c>
      <c r="F33" s="182" t="s">
        <v>796</v>
      </c>
      <c r="G33" s="177" t="s">
        <v>796</v>
      </c>
      <c r="H33" s="177" t="s">
        <v>388</v>
      </c>
      <c r="I33" s="177" t="s">
        <v>972</v>
      </c>
      <c r="J33" s="177" t="s">
        <v>972</v>
      </c>
      <c r="K33" s="177" t="s">
        <v>387</v>
      </c>
      <c r="L33" s="177" t="s">
        <v>387</v>
      </c>
      <c r="M33" s="177" t="s">
        <v>1225</v>
      </c>
      <c r="N33" s="177" t="s">
        <v>387</v>
      </c>
      <c r="O33" s="181" t="s">
        <v>15</v>
      </c>
      <c r="P33" s="177" t="s">
        <v>1346</v>
      </c>
      <c r="Q33" s="177" t="s">
        <v>1425</v>
      </c>
      <c r="R33" s="177" t="s">
        <v>1506</v>
      </c>
      <c r="S33" s="177" t="s">
        <v>387</v>
      </c>
      <c r="T33" s="177" t="s">
        <v>1648</v>
      </c>
      <c r="U33" s="177" t="s">
        <v>1741</v>
      </c>
      <c r="V33" s="177" t="s">
        <v>3930</v>
      </c>
      <c r="W33" s="177" t="s">
        <v>1832</v>
      </c>
      <c r="X33" s="177" t="s">
        <v>1916</v>
      </c>
      <c r="Y33" s="177" t="s">
        <v>1987</v>
      </c>
      <c r="Z33" s="177" t="s">
        <v>388</v>
      </c>
      <c r="AA33" s="177" t="s">
        <v>2106</v>
      </c>
      <c r="AB33" s="177" t="s">
        <v>2198</v>
      </c>
      <c r="AC33" s="177" t="s">
        <v>2283</v>
      </c>
      <c r="AD33" s="177" t="s">
        <v>2372</v>
      </c>
      <c r="AE33" s="177" t="s">
        <v>2437</v>
      </c>
      <c r="AF33" s="177" t="s">
        <v>388</v>
      </c>
      <c r="AG33" s="177" t="s">
        <v>2598</v>
      </c>
      <c r="AH33" s="177" t="s">
        <v>1225</v>
      </c>
      <c r="AI33" s="177" t="s">
        <v>2737</v>
      </c>
      <c r="AJ33" s="177" t="s">
        <v>388</v>
      </c>
      <c r="AK33" s="177" t="s">
        <v>2908</v>
      </c>
      <c r="AL33" s="177" t="s">
        <v>388</v>
      </c>
      <c r="AM33" s="177" t="s">
        <v>796</v>
      </c>
      <c r="AN33" s="177" t="s">
        <v>2372</v>
      </c>
      <c r="AO33" s="177" t="s">
        <v>1832</v>
      </c>
      <c r="AP33" s="177" t="s">
        <v>387</v>
      </c>
      <c r="AQ33" s="177" t="s">
        <v>389</v>
      </c>
      <c r="AR33" s="177" t="s">
        <v>387</v>
      </c>
      <c r="AS33" s="177" t="s">
        <v>3462</v>
      </c>
      <c r="AT33" s="177" t="s">
        <v>3554</v>
      </c>
      <c r="AU33" s="177" t="s">
        <v>796</v>
      </c>
      <c r="AV33" s="177" t="s">
        <v>3718</v>
      </c>
      <c r="AW33" s="181" t="str">
        <f>IF('Custom Language and Timezone'!E39&lt;&gt;"",'Custom Language and Timezone'!E39,'Custom Language and Timezone'!C39)</f>
        <v>Date</v>
      </c>
    </row>
    <row r="34" spans="1:49" x14ac:dyDescent="0.2">
      <c r="A34" s="181">
        <v>33</v>
      </c>
      <c r="B34" s="186" t="s">
        <v>23</v>
      </c>
      <c r="C34" s="181" t="s">
        <v>390</v>
      </c>
      <c r="D34" s="181" t="s">
        <v>612</v>
      </c>
      <c r="E34" s="182" t="s">
        <v>704</v>
      </c>
      <c r="F34" s="182" t="s">
        <v>797</v>
      </c>
      <c r="G34" s="177" t="s">
        <v>3787</v>
      </c>
      <c r="H34" s="177" t="s">
        <v>393</v>
      </c>
      <c r="I34" s="177" t="s">
        <v>973</v>
      </c>
      <c r="J34" s="177" t="s">
        <v>1058</v>
      </c>
      <c r="K34" s="177" t="s">
        <v>3859</v>
      </c>
      <c r="L34" s="177" t="s">
        <v>1146</v>
      </c>
      <c r="M34" s="177" t="s">
        <v>390</v>
      </c>
      <c r="N34" s="177" t="s">
        <v>390</v>
      </c>
      <c r="O34" s="181" t="s">
        <v>23</v>
      </c>
      <c r="P34" s="177" t="s">
        <v>1347</v>
      </c>
      <c r="Q34" s="177" t="s">
        <v>391</v>
      </c>
      <c r="R34" s="177" t="s">
        <v>1507</v>
      </c>
      <c r="S34" s="177" t="s">
        <v>390</v>
      </c>
      <c r="T34" s="177" t="s">
        <v>1649</v>
      </c>
      <c r="U34" s="177" t="s">
        <v>1742</v>
      </c>
      <c r="V34" s="177" t="s">
        <v>3931</v>
      </c>
      <c r="W34" s="177" t="s">
        <v>1833</v>
      </c>
      <c r="X34" s="177" t="s">
        <v>1917</v>
      </c>
      <c r="Y34" s="177" t="s">
        <v>23</v>
      </c>
      <c r="Z34" s="177" t="s">
        <v>392</v>
      </c>
      <c r="AA34" s="177" t="s">
        <v>2107</v>
      </c>
      <c r="AB34" s="177" t="s">
        <v>2199</v>
      </c>
      <c r="AC34" s="177" t="s">
        <v>2284</v>
      </c>
      <c r="AD34" s="177" t="s">
        <v>2373</v>
      </c>
      <c r="AE34" s="177" t="s">
        <v>1917</v>
      </c>
      <c r="AF34" s="177" t="s">
        <v>2514</v>
      </c>
      <c r="AG34" s="177" t="s">
        <v>2599</v>
      </c>
      <c r="AH34" s="177" t="s">
        <v>390</v>
      </c>
      <c r="AI34" s="177" t="s">
        <v>2738</v>
      </c>
      <c r="AJ34" s="177" t="s">
        <v>2824</v>
      </c>
      <c r="AK34" s="177" t="s">
        <v>393</v>
      </c>
      <c r="AL34" s="177" t="s">
        <v>2984</v>
      </c>
      <c r="AM34" s="177" t="s">
        <v>797</v>
      </c>
      <c r="AN34" s="177" t="s">
        <v>3122</v>
      </c>
      <c r="AO34" s="177" t="s">
        <v>3204</v>
      </c>
      <c r="AP34" s="177" t="s">
        <v>3266</v>
      </c>
      <c r="AQ34" s="177" t="s">
        <v>393</v>
      </c>
      <c r="AR34" s="177" t="s">
        <v>390</v>
      </c>
      <c r="AS34" s="177" t="s">
        <v>3463</v>
      </c>
      <c r="AT34" s="177" t="s">
        <v>3555</v>
      </c>
      <c r="AU34" s="177" t="s">
        <v>3639</v>
      </c>
      <c r="AV34" s="177" t="s">
        <v>3719</v>
      </c>
      <c r="AW34" s="181" t="str">
        <f>IF('Custom Language and Timezone'!E40&lt;&gt;"",'Custom Language and Timezone'!E40,'Custom Language and Timezone'!C40)</f>
        <v>Country</v>
      </c>
    </row>
    <row r="35" spans="1:49" x14ac:dyDescent="0.2">
      <c r="A35" s="181">
        <v>34</v>
      </c>
      <c r="B35" s="186" t="s">
        <v>12</v>
      </c>
      <c r="C35" s="182" t="s">
        <v>525</v>
      </c>
      <c r="D35" s="181" t="s">
        <v>613</v>
      </c>
      <c r="E35" s="182" t="s">
        <v>705</v>
      </c>
      <c r="F35" s="182" t="s">
        <v>798</v>
      </c>
      <c r="G35" s="177" t="s">
        <v>3788</v>
      </c>
      <c r="H35" s="177" t="s">
        <v>882</v>
      </c>
      <c r="I35" s="177" t="s">
        <v>974</v>
      </c>
      <c r="J35" s="177" t="s">
        <v>974</v>
      </c>
      <c r="K35" s="177" t="s">
        <v>3205</v>
      </c>
      <c r="L35" s="177" t="s">
        <v>1147</v>
      </c>
      <c r="M35" s="177" t="s">
        <v>12</v>
      </c>
      <c r="N35" s="177" t="s">
        <v>1290</v>
      </c>
      <c r="O35" s="181" t="s">
        <v>12</v>
      </c>
      <c r="P35" s="177" t="s">
        <v>1348</v>
      </c>
      <c r="Q35" s="177" t="s">
        <v>1426</v>
      </c>
      <c r="R35" s="177" t="s">
        <v>1508</v>
      </c>
      <c r="S35" s="177" t="s">
        <v>394</v>
      </c>
      <c r="T35" s="177" t="s">
        <v>1650</v>
      </c>
      <c r="U35" s="177" t="s">
        <v>1743</v>
      </c>
      <c r="V35" s="177" t="s">
        <v>3932</v>
      </c>
      <c r="W35" s="177" t="s">
        <v>1834</v>
      </c>
      <c r="X35" s="177" t="s">
        <v>1918</v>
      </c>
      <c r="Y35" s="177" t="s">
        <v>12</v>
      </c>
      <c r="Z35" s="177" t="s">
        <v>2020</v>
      </c>
      <c r="AA35" s="177" t="s">
        <v>2108</v>
      </c>
      <c r="AB35" s="177" t="s">
        <v>2200</v>
      </c>
      <c r="AC35" s="177" t="s">
        <v>2285</v>
      </c>
      <c r="AD35" s="177" t="s">
        <v>798</v>
      </c>
      <c r="AE35" s="177" t="s">
        <v>1918</v>
      </c>
      <c r="AF35" s="177" t="s">
        <v>12</v>
      </c>
      <c r="AG35" s="177" t="s">
        <v>2600</v>
      </c>
      <c r="AH35" s="177" t="s">
        <v>12</v>
      </c>
      <c r="AI35" s="177" t="s">
        <v>2739</v>
      </c>
      <c r="AJ35" s="177" t="s">
        <v>2825</v>
      </c>
      <c r="AK35" s="177" t="s">
        <v>2909</v>
      </c>
      <c r="AL35" s="177" t="s">
        <v>2985</v>
      </c>
      <c r="AM35" s="177" t="s">
        <v>3047</v>
      </c>
      <c r="AN35" s="177" t="s">
        <v>798</v>
      </c>
      <c r="AO35" s="177" t="s">
        <v>3205</v>
      </c>
      <c r="AP35" s="177" t="s">
        <v>3267</v>
      </c>
      <c r="AQ35" s="177" t="s">
        <v>3319</v>
      </c>
      <c r="AR35" s="177" t="s">
        <v>3389</v>
      </c>
      <c r="AS35" s="177" t="s">
        <v>3464</v>
      </c>
      <c r="AT35" s="177" t="s">
        <v>3556</v>
      </c>
      <c r="AU35" s="177" t="s">
        <v>3640</v>
      </c>
      <c r="AV35" s="177" t="s">
        <v>3720</v>
      </c>
      <c r="AW35" s="181" t="str">
        <f>IF('Custom Language and Timezone'!E41&lt;&gt;"",'Custom Language and Timezone'!E41,'Custom Language and Timezone'!C41)</f>
        <v>Score</v>
      </c>
    </row>
    <row r="36" spans="1:49" x14ac:dyDescent="0.2">
      <c r="A36" s="181">
        <v>35</v>
      </c>
      <c r="B36" s="186" t="s">
        <v>16</v>
      </c>
      <c r="C36" s="182" t="s">
        <v>526</v>
      </c>
      <c r="D36" s="181" t="s">
        <v>614</v>
      </c>
      <c r="E36" s="182" t="s">
        <v>706</v>
      </c>
      <c r="F36" s="182" t="s">
        <v>799</v>
      </c>
      <c r="G36" s="177" t="s">
        <v>3641</v>
      </c>
      <c r="H36" s="177" t="s">
        <v>883</v>
      </c>
      <c r="I36" s="177" t="s">
        <v>975</v>
      </c>
      <c r="J36" s="177" t="s">
        <v>1059</v>
      </c>
      <c r="K36" s="177" t="s">
        <v>3268</v>
      </c>
      <c r="L36" s="177" t="s">
        <v>1148</v>
      </c>
      <c r="M36" s="177" t="s">
        <v>1226</v>
      </c>
      <c r="N36" s="177" t="s">
        <v>395</v>
      </c>
      <c r="O36" s="181" t="s">
        <v>16</v>
      </c>
      <c r="P36" s="177" t="s">
        <v>1349</v>
      </c>
      <c r="Q36" s="177" t="s">
        <v>883</v>
      </c>
      <c r="R36" s="177" t="s">
        <v>1509</v>
      </c>
      <c r="S36" s="177" t="s">
        <v>1575</v>
      </c>
      <c r="T36" s="177" t="s">
        <v>1651</v>
      </c>
      <c r="U36" s="177" t="s">
        <v>1744</v>
      </c>
      <c r="V36" s="177" t="s">
        <v>3933</v>
      </c>
      <c r="W36" s="177" t="s">
        <v>1835</v>
      </c>
      <c r="X36" s="177" t="s">
        <v>1919</v>
      </c>
      <c r="Y36" s="177" t="s">
        <v>16</v>
      </c>
      <c r="Z36" s="177" t="s">
        <v>2021</v>
      </c>
      <c r="AA36" s="177" t="s">
        <v>1059</v>
      </c>
      <c r="AB36" s="177" t="s">
        <v>2201</v>
      </c>
      <c r="AC36" s="177" t="s">
        <v>2286</v>
      </c>
      <c r="AD36" s="177" t="s">
        <v>799</v>
      </c>
      <c r="AE36" s="177" t="s">
        <v>2438</v>
      </c>
      <c r="AF36" s="177" t="s">
        <v>2515</v>
      </c>
      <c r="AG36" s="177" t="s">
        <v>2601</v>
      </c>
      <c r="AH36" s="177" t="s">
        <v>1226</v>
      </c>
      <c r="AI36" s="177" t="s">
        <v>2740</v>
      </c>
      <c r="AJ36" s="177" t="s">
        <v>2826</v>
      </c>
      <c r="AK36" s="177" t="s">
        <v>2910</v>
      </c>
      <c r="AL36" s="177" t="s">
        <v>2986</v>
      </c>
      <c r="AM36" s="177" t="s">
        <v>3048</v>
      </c>
      <c r="AN36" s="177" t="s">
        <v>3123</v>
      </c>
      <c r="AO36" s="177" t="s">
        <v>3206</v>
      </c>
      <c r="AP36" s="177" t="s">
        <v>3268</v>
      </c>
      <c r="AQ36" s="177" t="s">
        <v>397</v>
      </c>
      <c r="AR36" s="177" t="s">
        <v>1226</v>
      </c>
      <c r="AS36" s="177" t="s">
        <v>3465</v>
      </c>
      <c r="AT36" s="177" t="s">
        <v>3557</v>
      </c>
      <c r="AU36" s="177" t="s">
        <v>3641</v>
      </c>
      <c r="AV36" s="177" t="s">
        <v>3721</v>
      </c>
      <c r="AW36" s="181" t="str">
        <f>IF('Custom Language and Timezone'!E42&lt;&gt;"",'Custom Language and Timezone'!E42,'Custom Language and Timezone'!C42)</f>
        <v>Time</v>
      </c>
    </row>
    <row r="37" spans="1:49" x14ac:dyDescent="0.2">
      <c r="A37" s="181">
        <v>36</v>
      </c>
      <c r="B37" s="186" t="s">
        <v>127</v>
      </c>
      <c r="C37" s="182" t="s">
        <v>527</v>
      </c>
      <c r="D37" s="181" t="s">
        <v>615</v>
      </c>
      <c r="E37" s="182" t="s">
        <v>707</v>
      </c>
      <c r="F37" s="182" t="s">
        <v>800</v>
      </c>
      <c r="G37" s="177" t="s">
        <v>3789</v>
      </c>
      <c r="H37" s="177" t="s">
        <v>884</v>
      </c>
      <c r="I37" s="177" t="s">
        <v>976</v>
      </c>
      <c r="J37" s="177" t="s">
        <v>1060</v>
      </c>
      <c r="K37" s="177" t="s">
        <v>3207</v>
      </c>
      <c r="L37" s="177" t="s">
        <v>1149</v>
      </c>
      <c r="M37" s="177" t="s">
        <v>1227</v>
      </c>
      <c r="N37" s="177" t="s">
        <v>527</v>
      </c>
      <c r="O37" s="181" t="s">
        <v>127</v>
      </c>
      <c r="P37" s="177" t="s">
        <v>1350</v>
      </c>
      <c r="Q37" s="177" t="s">
        <v>1427</v>
      </c>
      <c r="R37" s="177" t="s">
        <v>1510</v>
      </c>
      <c r="S37" s="177" t="s">
        <v>1576</v>
      </c>
      <c r="T37" s="177" t="s">
        <v>1652</v>
      </c>
      <c r="U37" s="177" t="s">
        <v>1745</v>
      </c>
      <c r="V37" s="177" t="s">
        <v>3934</v>
      </c>
      <c r="W37" s="177" t="s">
        <v>1836</v>
      </c>
      <c r="X37" s="177" t="s">
        <v>1920</v>
      </c>
      <c r="Y37" s="177" t="s">
        <v>1988</v>
      </c>
      <c r="Z37" s="177" t="s">
        <v>2022</v>
      </c>
      <c r="AA37" s="177" t="s">
        <v>2109</v>
      </c>
      <c r="AB37" s="177" t="s">
        <v>2202</v>
      </c>
      <c r="AC37" s="177" t="s">
        <v>2287</v>
      </c>
      <c r="AD37" s="177" t="s">
        <v>2374</v>
      </c>
      <c r="AE37" s="177" t="s">
        <v>2439</v>
      </c>
      <c r="AF37" s="177" t="s">
        <v>2516</v>
      </c>
      <c r="AG37" s="177" t="s">
        <v>2602</v>
      </c>
      <c r="AH37" s="177" t="s">
        <v>127</v>
      </c>
      <c r="AI37" s="177" t="s">
        <v>2741</v>
      </c>
      <c r="AJ37" s="177" t="s">
        <v>2827</v>
      </c>
      <c r="AK37" s="177" t="s">
        <v>127</v>
      </c>
      <c r="AL37" s="177" t="s">
        <v>2987</v>
      </c>
      <c r="AM37" s="177" t="s">
        <v>3049</v>
      </c>
      <c r="AN37" s="177" t="s">
        <v>3124</v>
      </c>
      <c r="AO37" s="177" t="s">
        <v>3207</v>
      </c>
      <c r="AP37" s="177" t="s">
        <v>3269</v>
      </c>
      <c r="AQ37" s="177" t="s">
        <v>884</v>
      </c>
      <c r="AR37" s="177" t="s">
        <v>127</v>
      </c>
      <c r="AS37" s="177" t="s">
        <v>3466</v>
      </c>
      <c r="AT37" s="177" t="s">
        <v>3558</v>
      </c>
      <c r="AU37" s="177" t="s">
        <v>3642</v>
      </c>
      <c r="AV37" s="177" t="s">
        <v>3722</v>
      </c>
      <c r="AW37" s="181" t="str">
        <f>IF('Custom Language and Timezone'!E43&lt;&gt;"",'Custom Language and Timezone'!E43,'Custom Language and Timezone'!C43)</f>
        <v>Round of 16</v>
      </c>
    </row>
    <row r="38" spans="1:49" x14ac:dyDescent="0.2">
      <c r="A38" s="181">
        <v>37</v>
      </c>
      <c r="B38" s="186" t="s">
        <v>128</v>
      </c>
      <c r="C38" s="182" t="s">
        <v>528</v>
      </c>
      <c r="D38" s="181" t="s">
        <v>616</v>
      </c>
      <c r="E38" s="182" t="s">
        <v>708</v>
      </c>
      <c r="F38" s="182" t="s">
        <v>801</v>
      </c>
      <c r="G38" s="177" t="s">
        <v>3790</v>
      </c>
      <c r="H38" s="177" t="s">
        <v>885</v>
      </c>
      <c r="I38" s="177" t="s">
        <v>977</v>
      </c>
      <c r="J38" s="177" t="s">
        <v>1061</v>
      </c>
      <c r="K38" s="177" t="s">
        <v>3860</v>
      </c>
      <c r="L38" s="177" t="s">
        <v>1150</v>
      </c>
      <c r="M38" s="177" t="s">
        <v>1228</v>
      </c>
      <c r="N38" s="177" t="s">
        <v>398</v>
      </c>
      <c r="O38" s="181" t="s">
        <v>128</v>
      </c>
      <c r="P38" s="177" t="s">
        <v>1351</v>
      </c>
      <c r="Q38" s="177" t="s">
        <v>399</v>
      </c>
      <c r="R38" s="177" t="s">
        <v>1511</v>
      </c>
      <c r="S38" s="177" t="s">
        <v>1577</v>
      </c>
      <c r="T38" s="177" t="s">
        <v>1653</v>
      </c>
      <c r="U38" s="177" t="s">
        <v>1746</v>
      </c>
      <c r="V38" s="177" t="s">
        <v>3935</v>
      </c>
      <c r="W38" s="177" t="s">
        <v>1837</v>
      </c>
      <c r="X38" s="177" t="s">
        <v>1921</v>
      </c>
      <c r="Y38" s="177" t="s">
        <v>128</v>
      </c>
      <c r="Z38" s="177" t="s">
        <v>400</v>
      </c>
      <c r="AA38" s="177" t="s">
        <v>2110</v>
      </c>
      <c r="AB38" s="177" t="s">
        <v>2203</v>
      </c>
      <c r="AC38" s="177" t="s">
        <v>128</v>
      </c>
      <c r="AD38" s="177" t="s">
        <v>2375</v>
      </c>
      <c r="AE38" s="177" t="s">
        <v>2440</v>
      </c>
      <c r="AF38" s="177" t="s">
        <v>2517</v>
      </c>
      <c r="AG38" s="177" t="s">
        <v>2603</v>
      </c>
      <c r="AH38" s="177" t="s">
        <v>2671</v>
      </c>
      <c r="AI38" s="177" t="s">
        <v>2742</v>
      </c>
      <c r="AJ38" s="177" t="s">
        <v>2828</v>
      </c>
      <c r="AK38" s="177" t="s">
        <v>2911</v>
      </c>
      <c r="AL38" s="177" t="s">
        <v>2988</v>
      </c>
      <c r="AM38" s="177" t="s">
        <v>3050</v>
      </c>
      <c r="AN38" s="177" t="s">
        <v>3125</v>
      </c>
      <c r="AO38" s="177" t="s">
        <v>3208</v>
      </c>
      <c r="AP38" s="177" t="s">
        <v>3270</v>
      </c>
      <c r="AQ38" s="177" t="s">
        <v>401</v>
      </c>
      <c r="AR38" s="177" t="s">
        <v>3390</v>
      </c>
      <c r="AS38" s="177" t="s">
        <v>3467</v>
      </c>
      <c r="AT38" s="177" t="s">
        <v>3559</v>
      </c>
      <c r="AU38" s="177" t="s">
        <v>3643</v>
      </c>
      <c r="AV38" s="177" t="s">
        <v>3723</v>
      </c>
      <c r="AW38" s="181" t="str">
        <f>IF('Custom Language and Timezone'!E44&lt;&gt;"",'Custom Language and Timezone'!E44,'Custom Language and Timezone'!C44)</f>
        <v>Quarter Finals</v>
      </c>
    </row>
    <row r="39" spans="1:49" x14ac:dyDescent="0.2">
      <c r="A39" s="181">
        <v>38</v>
      </c>
      <c r="B39" s="186" t="s">
        <v>129</v>
      </c>
      <c r="C39" s="182" t="s">
        <v>529</v>
      </c>
      <c r="D39" s="181" t="s">
        <v>617</v>
      </c>
      <c r="E39" s="182" t="s">
        <v>709</v>
      </c>
      <c r="F39" s="182" t="s">
        <v>802</v>
      </c>
      <c r="G39" s="177" t="s">
        <v>3791</v>
      </c>
      <c r="H39" s="177" t="s">
        <v>886</v>
      </c>
      <c r="I39" s="177" t="s">
        <v>978</v>
      </c>
      <c r="J39" s="177" t="s">
        <v>1062</v>
      </c>
      <c r="K39" s="177" t="s">
        <v>3209</v>
      </c>
      <c r="L39" s="177" t="s">
        <v>1151</v>
      </c>
      <c r="M39" s="177" t="s">
        <v>129</v>
      </c>
      <c r="N39" s="177" t="s">
        <v>129</v>
      </c>
      <c r="O39" s="181" t="s">
        <v>129</v>
      </c>
      <c r="P39" s="177" t="s">
        <v>1352</v>
      </c>
      <c r="Q39" s="177" t="s">
        <v>402</v>
      </c>
      <c r="R39" s="177" t="s">
        <v>1512</v>
      </c>
      <c r="S39" s="177" t="s">
        <v>403</v>
      </c>
      <c r="T39" s="177" t="s">
        <v>1654</v>
      </c>
      <c r="U39" s="177" t="s">
        <v>1747</v>
      </c>
      <c r="V39" s="177" t="s">
        <v>3936</v>
      </c>
      <c r="W39" s="177" t="s">
        <v>1838</v>
      </c>
      <c r="X39" s="177" t="s">
        <v>1922</v>
      </c>
      <c r="Y39" s="177" t="s">
        <v>1989</v>
      </c>
      <c r="Z39" s="177" t="s">
        <v>2023</v>
      </c>
      <c r="AA39" s="177" t="s">
        <v>2111</v>
      </c>
      <c r="AB39" s="177" t="s">
        <v>2204</v>
      </c>
      <c r="AC39" s="177" t="s">
        <v>2288</v>
      </c>
      <c r="AD39" s="177" t="s">
        <v>2376</v>
      </c>
      <c r="AE39" s="177" t="s">
        <v>2441</v>
      </c>
      <c r="AF39" s="177" t="s">
        <v>2518</v>
      </c>
      <c r="AG39" s="177" t="s">
        <v>2604</v>
      </c>
      <c r="AH39" s="177" t="s">
        <v>129</v>
      </c>
      <c r="AI39" s="177" t="s">
        <v>2743</v>
      </c>
      <c r="AJ39" s="177" t="s">
        <v>2829</v>
      </c>
      <c r="AK39" s="177" t="s">
        <v>129</v>
      </c>
      <c r="AL39" s="177" t="s">
        <v>403</v>
      </c>
      <c r="AM39" s="177" t="s">
        <v>3051</v>
      </c>
      <c r="AN39" s="177" t="s">
        <v>3126</v>
      </c>
      <c r="AO39" s="177" t="s">
        <v>3209</v>
      </c>
      <c r="AP39" s="177" t="s">
        <v>3271</v>
      </c>
      <c r="AQ39" s="177" t="s">
        <v>404</v>
      </c>
      <c r="AR39" s="177" t="s">
        <v>3391</v>
      </c>
      <c r="AS39" s="177" t="s">
        <v>3468</v>
      </c>
      <c r="AT39" s="177" t="s">
        <v>3560</v>
      </c>
      <c r="AU39" s="177" t="s">
        <v>3644</v>
      </c>
      <c r="AV39" s="177" t="s">
        <v>3724</v>
      </c>
      <c r="AW39" s="181" t="str">
        <f>IF('Custom Language and Timezone'!E45&lt;&gt;"",'Custom Language and Timezone'!E45,'Custom Language and Timezone'!C45)</f>
        <v>Semi Finals</v>
      </c>
    </row>
    <row r="40" spans="1:49" x14ac:dyDescent="0.2">
      <c r="A40" s="181">
        <v>39</v>
      </c>
      <c r="B40" s="186" t="s">
        <v>13</v>
      </c>
      <c r="C40" s="181" t="s">
        <v>405</v>
      </c>
      <c r="D40" s="181" t="s">
        <v>618</v>
      </c>
      <c r="E40" s="182" t="s">
        <v>710</v>
      </c>
      <c r="F40" s="182" t="s">
        <v>803</v>
      </c>
      <c r="G40" s="177" t="s">
        <v>3792</v>
      </c>
      <c r="H40" s="177" t="s">
        <v>887</v>
      </c>
      <c r="I40" s="177" t="s">
        <v>979</v>
      </c>
      <c r="J40" s="177" t="s">
        <v>1063</v>
      </c>
      <c r="K40" s="177" t="s">
        <v>3861</v>
      </c>
      <c r="L40" s="177" t="s">
        <v>1152</v>
      </c>
      <c r="M40" s="177" t="s">
        <v>13</v>
      </c>
      <c r="N40" s="177" t="s">
        <v>405</v>
      </c>
      <c r="O40" s="181" t="s">
        <v>13</v>
      </c>
      <c r="P40" s="177" t="s">
        <v>1353</v>
      </c>
      <c r="Q40" s="177" t="s">
        <v>13</v>
      </c>
      <c r="R40" s="177" t="s">
        <v>13</v>
      </c>
      <c r="S40" s="177" t="s">
        <v>405</v>
      </c>
      <c r="T40" s="177" t="s">
        <v>1655</v>
      </c>
      <c r="U40" s="177" t="s">
        <v>1748</v>
      </c>
      <c r="V40" s="177" t="s">
        <v>3937</v>
      </c>
      <c r="W40" s="177" t="s">
        <v>1839</v>
      </c>
      <c r="X40" s="177" t="s">
        <v>1923</v>
      </c>
      <c r="Y40" s="177" t="s">
        <v>13</v>
      </c>
      <c r="Z40" s="177" t="s">
        <v>2024</v>
      </c>
      <c r="AA40" s="177" t="s">
        <v>2112</v>
      </c>
      <c r="AB40" s="177" t="s">
        <v>2205</v>
      </c>
      <c r="AC40" s="177" t="s">
        <v>2289</v>
      </c>
      <c r="AD40" s="177" t="s">
        <v>2377</v>
      </c>
      <c r="AE40" s="177" t="s">
        <v>2442</v>
      </c>
      <c r="AF40" s="177" t="s">
        <v>2519</v>
      </c>
      <c r="AG40" s="177" t="s">
        <v>2605</v>
      </c>
      <c r="AH40" s="177" t="s">
        <v>2672</v>
      </c>
      <c r="AI40" s="177" t="s">
        <v>2744</v>
      </c>
      <c r="AJ40" s="177" t="s">
        <v>2830</v>
      </c>
      <c r="AK40" s="177" t="s">
        <v>13</v>
      </c>
      <c r="AL40" s="177" t="s">
        <v>13</v>
      </c>
      <c r="AM40" s="177" t="s">
        <v>3052</v>
      </c>
      <c r="AN40" s="177" t="s">
        <v>3127</v>
      </c>
      <c r="AO40" s="177" t="s">
        <v>13</v>
      </c>
      <c r="AP40" s="177" t="s">
        <v>13</v>
      </c>
      <c r="AQ40" s="177" t="s">
        <v>13</v>
      </c>
      <c r="AR40" s="177" t="s">
        <v>3392</v>
      </c>
      <c r="AS40" s="177" t="s">
        <v>3469</v>
      </c>
      <c r="AT40" s="177" t="s">
        <v>13</v>
      </c>
      <c r="AU40" s="177" t="s">
        <v>3645</v>
      </c>
      <c r="AV40" s="177" t="s">
        <v>3725</v>
      </c>
      <c r="AW40" s="181" t="str">
        <f>IF('Custom Language and Timezone'!E46&lt;&gt;"",'Custom Language and Timezone'!E46,'Custom Language and Timezone'!C46)</f>
        <v>Final</v>
      </c>
    </row>
    <row r="41" spans="1:49" x14ac:dyDescent="0.2">
      <c r="A41" s="181">
        <v>40</v>
      </c>
      <c r="B41" s="181" t="s">
        <v>130</v>
      </c>
      <c r="C41" s="181" t="s">
        <v>530</v>
      </c>
      <c r="D41" s="181" t="s">
        <v>619</v>
      </c>
      <c r="E41" s="182" t="s">
        <v>711</v>
      </c>
      <c r="F41" s="182" t="s">
        <v>804</v>
      </c>
      <c r="G41" s="177" t="s">
        <v>3793</v>
      </c>
      <c r="H41" s="177" t="s">
        <v>888</v>
      </c>
      <c r="I41" s="177" t="s">
        <v>980</v>
      </c>
      <c r="J41" s="177" t="s">
        <v>1064</v>
      </c>
      <c r="K41" s="177" t="s">
        <v>3862</v>
      </c>
      <c r="L41" s="177" t="s">
        <v>1153</v>
      </c>
      <c r="M41" s="177" t="s">
        <v>1229</v>
      </c>
      <c r="N41" s="177" t="s">
        <v>406</v>
      </c>
      <c r="O41" s="181" t="s">
        <v>130</v>
      </c>
      <c r="P41" s="177" t="s">
        <v>1354</v>
      </c>
      <c r="Q41" s="177" t="s">
        <v>407</v>
      </c>
      <c r="R41" s="177" t="s">
        <v>1513</v>
      </c>
      <c r="S41" s="177" t="s">
        <v>1578</v>
      </c>
      <c r="T41" s="177" t="s">
        <v>1656</v>
      </c>
      <c r="U41" s="177" t="s">
        <v>1749</v>
      </c>
      <c r="V41" s="177" t="s">
        <v>3938</v>
      </c>
      <c r="W41" s="177" t="s">
        <v>1840</v>
      </c>
      <c r="X41" s="177" t="s">
        <v>1924</v>
      </c>
      <c r="Y41" s="177" t="s">
        <v>1990</v>
      </c>
      <c r="Z41" s="177" t="s">
        <v>408</v>
      </c>
      <c r="AA41" s="177" t="s">
        <v>2113</v>
      </c>
      <c r="AB41" s="177" t="s">
        <v>2206</v>
      </c>
      <c r="AC41" s="177" t="s">
        <v>2290</v>
      </c>
      <c r="AD41" s="177" t="s">
        <v>2378</v>
      </c>
      <c r="AE41" s="177" t="s">
        <v>1924</v>
      </c>
      <c r="AF41" s="177" t="s">
        <v>2520</v>
      </c>
      <c r="AG41" s="177" t="s">
        <v>2606</v>
      </c>
      <c r="AH41" s="177" t="s">
        <v>2673</v>
      </c>
      <c r="AI41" s="177" t="s">
        <v>2745</v>
      </c>
      <c r="AJ41" s="177" t="s">
        <v>2831</v>
      </c>
      <c r="AK41" s="177" t="s">
        <v>2912</v>
      </c>
      <c r="AL41" s="177" t="s">
        <v>2989</v>
      </c>
      <c r="AM41" s="177" t="s">
        <v>3053</v>
      </c>
      <c r="AN41" s="177" t="s">
        <v>3128</v>
      </c>
      <c r="AO41" s="177" t="s">
        <v>3210</v>
      </c>
      <c r="AP41" s="177" t="s">
        <v>3272</v>
      </c>
      <c r="AQ41" s="177" t="s">
        <v>409</v>
      </c>
      <c r="AR41" s="177" t="s">
        <v>3393</v>
      </c>
      <c r="AS41" s="177" t="s">
        <v>3470</v>
      </c>
      <c r="AT41" s="177" t="s">
        <v>3561</v>
      </c>
      <c r="AU41" s="177" t="s">
        <v>3646</v>
      </c>
      <c r="AV41" s="177" t="s">
        <v>3726</v>
      </c>
      <c r="AW41" s="181" t="str">
        <f>IF('Custom Language and Timezone'!E47&lt;&gt;"",'Custom Language and Timezone'!E47,'Custom Language and Timezone'!C47)</f>
        <v>Winner</v>
      </c>
    </row>
    <row r="42" spans="1:49" x14ac:dyDescent="0.2">
      <c r="A42" s="181">
        <v>41</v>
      </c>
      <c r="B42" s="181" t="s">
        <v>98</v>
      </c>
      <c r="C42" s="181" t="s">
        <v>531</v>
      </c>
      <c r="D42" s="181" t="s">
        <v>620</v>
      </c>
      <c r="E42" s="182" t="s">
        <v>712</v>
      </c>
      <c r="F42" s="182" t="s">
        <v>805</v>
      </c>
      <c r="G42" s="177" t="s">
        <v>3794</v>
      </c>
      <c r="H42" s="177" t="s">
        <v>889</v>
      </c>
      <c r="I42" s="177" t="s">
        <v>981</v>
      </c>
      <c r="J42" s="177" t="s">
        <v>1065</v>
      </c>
      <c r="K42" s="177" t="s">
        <v>3863</v>
      </c>
      <c r="L42" s="177" t="s">
        <v>1154</v>
      </c>
      <c r="M42" s="177" t="s">
        <v>1230</v>
      </c>
      <c r="N42" s="177" t="s">
        <v>1291</v>
      </c>
      <c r="O42" s="181" t="s">
        <v>98</v>
      </c>
      <c r="P42" s="177" t="s">
        <v>98</v>
      </c>
      <c r="Q42" s="177" t="s">
        <v>1428</v>
      </c>
      <c r="R42" s="177" t="s">
        <v>1514</v>
      </c>
      <c r="S42" s="177" t="s">
        <v>1579</v>
      </c>
      <c r="T42" s="177" t="s">
        <v>1657</v>
      </c>
      <c r="U42" s="177" t="s">
        <v>1750</v>
      </c>
      <c r="V42" s="177" t="s">
        <v>3939</v>
      </c>
      <c r="W42" s="177" t="s">
        <v>1841</v>
      </c>
      <c r="X42" s="177" t="s">
        <v>1925</v>
      </c>
      <c r="Y42" s="177" t="s">
        <v>1991</v>
      </c>
      <c r="Z42" s="177" t="s">
        <v>2025</v>
      </c>
      <c r="AA42" s="177" t="s">
        <v>2114</v>
      </c>
      <c r="AB42" s="177" t="s">
        <v>2207</v>
      </c>
      <c r="AC42" s="177" t="s">
        <v>2291</v>
      </c>
      <c r="AD42" s="177" t="s">
        <v>2379</v>
      </c>
      <c r="AE42" s="177" t="s">
        <v>2443</v>
      </c>
      <c r="AF42" s="177" t="s">
        <v>98</v>
      </c>
      <c r="AG42" s="177" t="s">
        <v>2607</v>
      </c>
      <c r="AH42" s="177" t="s">
        <v>1514</v>
      </c>
      <c r="AI42" s="177" t="s">
        <v>2746</v>
      </c>
      <c r="AJ42" s="177" t="s">
        <v>98</v>
      </c>
      <c r="AK42" s="177" t="s">
        <v>2913</v>
      </c>
      <c r="AL42" s="177" t="s">
        <v>2990</v>
      </c>
      <c r="AM42" s="177" t="s">
        <v>3054</v>
      </c>
      <c r="AN42" s="177" t="s">
        <v>3129</v>
      </c>
      <c r="AO42" s="177" t="s">
        <v>3211</v>
      </c>
      <c r="AP42" s="177" t="s">
        <v>1514</v>
      </c>
      <c r="AQ42" s="177" t="s">
        <v>410</v>
      </c>
      <c r="AR42" s="177" t="s">
        <v>3394</v>
      </c>
      <c r="AS42" s="177" t="s">
        <v>3471</v>
      </c>
      <c r="AT42" s="177" t="s">
        <v>3562</v>
      </c>
      <c r="AU42" s="177" t="s">
        <v>3647</v>
      </c>
      <c r="AV42" s="177" t="s">
        <v>3727</v>
      </c>
      <c r="AW42" s="181" t="str">
        <f>IF('Custom Language and Timezone'!E48&lt;&gt;"",'Custom Language and Timezone'!E48,'Custom Language and Timezone'!C48)</f>
        <v>Runner Up</v>
      </c>
    </row>
    <row r="43" spans="1:49" x14ac:dyDescent="0.2">
      <c r="A43" s="181">
        <v>42</v>
      </c>
      <c r="B43" s="181" t="s">
        <v>131</v>
      </c>
      <c r="C43" s="181" t="s">
        <v>532</v>
      </c>
      <c r="D43" s="181" t="s">
        <v>621</v>
      </c>
      <c r="E43" s="182" t="s">
        <v>713</v>
      </c>
      <c r="F43" s="182" t="s">
        <v>131</v>
      </c>
      <c r="G43" s="177" t="s">
        <v>3795</v>
      </c>
      <c r="H43" s="177" t="s">
        <v>890</v>
      </c>
      <c r="I43" s="177" t="s">
        <v>982</v>
      </c>
      <c r="J43" s="177" t="s">
        <v>1066</v>
      </c>
      <c r="K43" s="177" t="s">
        <v>131</v>
      </c>
      <c r="L43" s="177" t="s">
        <v>1155</v>
      </c>
      <c r="M43" s="177" t="s">
        <v>1231</v>
      </c>
      <c r="N43" s="177" t="s">
        <v>1292</v>
      </c>
      <c r="O43" s="181" t="s">
        <v>131</v>
      </c>
      <c r="P43" s="177" t="s">
        <v>1355</v>
      </c>
      <c r="Q43" s="177" t="s">
        <v>1429</v>
      </c>
      <c r="R43" s="177" t="s">
        <v>1515</v>
      </c>
      <c r="S43" s="177" t="s">
        <v>1580</v>
      </c>
      <c r="T43" s="177" t="s">
        <v>1658</v>
      </c>
      <c r="U43" s="177" t="s">
        <v>1751</v>
      </c>
      <c r="V43" s="177" t="s">
        <v>3940</v>
      </c>
      <c r="W43" s="177" t="s">
        <v>1842</v>
      </c>
      <c r="X43" s="177" t="s">
        <v>1926</v>
      </c>
      <c r="Y43" s="177" t="s">
        <v>131</v>
      </c>
      <c r="Z43" s="177" t="s">
        <v>2026</v>
      </c>
      <c r="AA43" s="177" t="s">
        <v>2115</v>
      </c>
      <c r="AB43" s="177" t="s">
        <v>2208</v>
      </c>
      <c r="AC43" s="177" t="s">
        <v>2292</v>
      </c>
      <c r="AD43" s="177" t="s">
        <v>2380</v>
      </c>
      <c r="AE43" s="177" t="s">
        <v>2444</v>
      </c>
      <c r="AF43" s="177" t="s">
        <v>2521</v>
      </c>
      <c r="AG43" s="177" t="s">
        <v>2608</v>
      </c>
      <c r="AH43" s="177" t="s">
        <v>1231</v>
      </c>
      <c r="AI43" s="177" t="s">
        <v>2747</v>
      </c>
      <c r="AJ43" s="177" t="s">
        <v>2832</v>
      </c>
      <c r="AK43" s="177" t="s">
        <v>2914</v>
      </c>
      <c r="AL43" s="177" t="s">
        <v>2991</v>
      </c>
      <c r="AM43" s="177" t="s">
        <v>3055</v>
      </c>
      <c r="AN43" s="177" t="s">
        <v>2380</v>
      </c>
      <c r="AO43" s="177" t="s">
        <v>131</v>
      </c>
      <c r="AP43" s="177" t="s">
        <v>3273</v>
      </c>
      <c r="AQ43" s="177" t="s">
        <v>3320</v>
      </c>
      <c r="AR43" s="177" t="s">
        <v>1231</v>
      </c>
      <c r="AS43" s="177" t="s">
        <v>3472</v>
      </c>
      <c r="AT43" s="177" t="s">
        <v>3563</v>
      </c>
      <c r="AU43" s="177" t="s">
        <v>3648</v>
      </c>
      <c r="AV43" s="177" t="s">
        <v>3728</v>
      </c>
      <c r="AW43" s="181" t="str">
        <f>IF('Custom Language and Timezone'!E49&lt;&gt;"",'Custom Language and Timezone'!E49,'Custom Language and Timezone'!C49)</f>
        <v>Normal Time</v>
      </c>
    </row>
    <row r="44" spans="1:49" x14ac:dyDescent="0.2">
      <c r="A44" s="181">
        <v>43</v>
      </c>
      <c r="B44" s="181" t="s">
        <v>132</v>
      </c>
      <c r="C44" s="181" t="s">
        <v>533</v>
      </c>
      <c r="D44" s="181" t="s">
        <v>622</v>
      </c>
      <c r="E44" s="182" t="s">
        <v>714</v>
      </c>
      <c r="F44" s="182" t="s">
        <v>806</v>
      </c>
      <c r="G44" s="177" t="s">
        <v>3796</v>
      </c>
      <c r="H44" s="177" t="s">
        <v>891</v>
      </c>
      <c r="I44" s="177" t="s">
        <v>983</v>
      </c>
      <c r="J44" s="177" t="s">
        <v>1067</v>
      </c>
      <c r="K44" s="177" t="s">
        <v>3864</v>
      </c>
      <c r="L44" s="177" t="s">
        <v>1156</v>
      </c>
      <c r="M44" s="177" t="s">
        <v>1232</v>
      </c>
      <c r="N44" s="177" t="s">
        <v>1293</v>
      </c>
      <c r="O44" s="181" t="s">
        <v>132</v>
      </c>
      <c r="P44" s="177" t="s">
        <v>1356</v>
      </c>
      <c r="Q44" s="177" t="s">
        <v>1430</v>
      </c>
      <c r="R44" s="177" t="s">
        <v>1516</v>
      </c>
      <c r="S44" s="177" t="s">
        <v>1581</v>
      </c>
      <c r="T44" s="177" t="s">
        <v>1659</v>
      </c>
      <c r="U44" s="177" t="s">
        <v>1752</v>
      </c>
      <c r="V44" s="177" t="s">
        <v>3941</v>
      </c>
      <c r="W44" s="177" t="s">
        <v>1843</v>
      </c>
      <c r="X44" s="177" t="s">
        <v>1927</v>
      </c>
      <c r="Y44" s="177" t="s">
        <v>132</v>
      </c>
      <c r="Z44" s="177" t="s">
        <v>2027</v>
      </c>
      <c r="AA44" s="177" t="s">
        <v>2116</v>
      </c>
      <c r="AB44" s="177" t="s">
        <v>2209</v>
      </c>
      <c r="AC44" s="177" t="s">
        <v>2293</v>
      </c>
      <c r="AD44" s="177" t="s">
        <v>2381</v>
      </c>
      <c r="AE44" s="177" t="s">
        <v>2445</v>
      </c>
      <c r="AF44" s="177" t="s">
        <v>2522</v>
      </c>
      <c r="AG44" s="177" t="s">
        <v>2609</v>
      </c>
      <c r="AH44" s="177" t="s">
        <v>1232</v>
      </c>
      <c r="AI44" s="177" t="s">
        <v>2748</v>
      </c>
      <c r="AJ44" s="177" t="s">
        <v>2833</v>
      </c>
      <c r="AK44" s="177" t="s">
        <v>2027</v>
      </c>
      <c r="AL44" s="177" t="s">
        <v>2992</v>
      </c>
      <c r="AM44" s="177" t="s">
        <v>3056</v>
      </c>
      <c r="AN44" s="177" t="s">
        <v>3130</v>
      </c>
      <c r="AO44" s="177" t="s">
        <v>3212</v>
      </c>
      <c r="AP44" s="177" t="s">
        <v>3212</v>
      </c>
      <c r="AQ44" s="177" t="s">
        <v>3321</v>
      </c>
      <c r="AR44" s="177" t="s">
        <v>3395</v>
      </c>
      <c r="AS44" s="177" t="s">
        <v>3473</v>
      </c>
      <c r="AT44" s="177" t="s">
        <v>3564</v>
      </c>
      <c r="AU44" s="177" t="s">
        <v>3649</v>
      </c>
      <c r="AV44" s="177" t="s">
        <v>3729</v>
      </c>
      <c r="AW44" s="181" t="str">
        <f>IF('Custom Language and Timezone'!E50&lt;&gt;"",'Custom Language and Timezone'!E50,'Custom Language and Timezone'!C50)</f>
        <v>Extra Time</v>
      </c>
    </row>
    <row r="45" spans="1:49" x14ac:dyDescent="0.2">
      <c r="A45" s="181">
        <v>44</v>
      </c>
      <c r="B45" s="181" t="s">
        <v>133</v>
      </c>
      <c r="C45" s="181" t="s">
        <v>534</v>
      </c>
      <c r="D45" s="181" t="s">
        <v>623</v>
      </c>
      <c r="E45" s="182" t="s">
        <v>715</v>
      </c>
      <c r="F45" s="182" t="s">
        <v>807</v>
      </c>
      <c r="G45" s="177" t="s">
        <v>3797</v>
      </c>
      <c r="H45" s="177" t="s">
        <v>892</v>
      </c>
      <c r="I45" s="177" t="s">
        <v>984</v>
      </c>
      <c r="J45" s="177" t="s">
        <v>1068</v>
      </c>
      <c r="K45" s="177" t="s">
        <v>133</v>
      </c>
      <c r="L45" s="177" t="s">
        <v>1157</v>
      </c>
      <c r="M45" s="177" t="s">
        <v>133</v>
      </c>
      <c r="N45" s="177" t="s">
        <v>133</v>
      </c>
      <c r="O45" s="181" t="s">
        <v>133</v>
      </c>
      <c r="P45" s="177" t="s">
        <v>1357</v>
      </c>
      <c r="Q45" s="177" t="s">
        <v>1431</v>
      </c>
      <c r="R45" s="177" t="s">
        <v>1517</v>
      </c>
      <c r="S45" s="177" t="s">
        <v>411</v>
      </c>
      <c r="T45" s="177" t="s">
        <v>1660</v>
      </c>
      <c r="U45" s="177" t="s">
        <v>1753</v>
      </c>
      <c r="V45" s="177" t="s">
        <v>3942</v>
      </c>
      <c r="W45" s="177" t="s">
        <v>1844</v>
      </c>
      <c r="X45" s="177" t="s">
        <v>1928</v>
      </c>
      <c r="Y45" s="177" t="s">
        <v>133</v>
      </c>
      <c r="Z45" s="177" t="s">
        <v>2028</v>
      </c>
      <c r="AA45" s="177" t="s">
        <v>2117</v>
      </c>
      <c r="AB45" s="177" t="s">
        <v>2210</v>
      </c>
      <c r="AC45" s="177" t="s">
        <v>2294</v>
      </c>
      <c r="AD45" s="177" t="s">
        <v>2382</v>
      </c>
      <c r="AE45" s="177" t="s">
        <v>2446</v>
      </c>
      <c r="AF45" s="177" t="s">
        <v>2523</v>
      </c>
      <c r="AG45" s="177" t="s">
        <v>2610</v>
      </c>
      <c r="AH45" s="177" t="s">
        <v>133</v>
      </c>
      <c r="AI45" s="177" t="s">
        <v>2749</v>
      </c>
      <c r="AJ45" s="177" t="s">
        <v>2834</v>
      </c>
      <c r="AK45" s="177" t="s">
        <v>2915</v>
      </c>
      <c r="AL45" s="177" t="s">
        <v>133</v>
      </c>
      <c r="AM45" s="177" t="s">
        <v>3057</v>
      </c>
      <c r="AN45" s="177" t="s">
        <v>3131</v>
      </c>
      <c r="AO45" s="177" t="s">
        <v>133</v>
      </c>
      <c r="AP45" s="177" t="s">
        <v>133</v>
      </c>
      <c r="AQ45" s="177" t="s">
        <v>133</v>
      </c>
      <c r="AR45" s="177" t="s">
        <v>133</v>
      </c>
      <c r="AS45" s="177" t="s">
        <v>3474</v>
      </c>
      <c r="AT45" s="177" t="s">
        <v>3565</v>
      </c>
      <c r="AU45" s="177" t="s">
        <v>3650</v>
      </c>
      <c r="AV45" s="177" t="s">
        <v>3730</v>
      </c>
      <c r="AW45" s="181" t="str">
        <f>IF('Custom Language and Timezone'!E51&lt;&gt;"",'Custom Language and Timezone'!E51,'Custom Language and Timezone'!C51)</f>
        <v>Penalty Shoot Out</v>
      </c>
    </row>
    <row r="46" spans="1:49" x14ac:dyDescent="0.2">
      <c r="A46" s="181">
        <v>45</v>
      </c>
      <c r="B46" s="186" t="s">
        <v>134</v>
      </c>
      <c r="C46" s="181" t="s">
        <v>412</v>
      </c>
      <c r="D46" s="181" t="s">
        <v>624</v>
      </c>
      <c r="E46" s="182" t="s">
        <v>716</v>
      </c>
      <c r="F46" s="182" t="s">
        <v>808</v>
      </c>
      <c r="G46" s="177" t="s">
        <v>3798</v>
      </c>
      <c r="H46" s="177" t="s">
        <v>893</v>
      </c>
      <c r="I46" s="177" t="s">
        <v>985</v>
      </c>
      <c r="J46" s="177" t="s">
        <v>1069</v>
      </c>
      <c r="K46" s="177" t="s">
        <v>3865</v>
      </c>
      <c r="L46" s="177" t="s">
        <v>1158</v>
      </c>
      <c r="M46" s="177" t="s">
        <v>134</v>
      </c>
      <c r="N46" s="177" t="s">
        <v>412</v>
      </c>
      <c r="O46" s="181" t="s">
        <v>134</v>
      </c>
      <c r="P46" s="177" t="s">
        <v>1358</v>
      </c>
      <c r="Q46" s="177" t="s">
        <v>134</v>
      </c>
      <c r="R46" s="177" t="s">
        <v>1518</v>
      </c>
      <c r="S46" s="177" t="s">
        <v>134</v>
      </c>
      <c r="T46" s="177" t="s">
        <v>1661</v>
      </c>
      <c r="U46" s="177" t="s">
        <v>1754</v>
      </c>
      <c r="V46" s="177" t="s">
        <v>3943</v>
      </c>
      <c r="W46" s="177" t="s">
        <v>1845</v>
      </c>
      <c r="X46" s="177" t="s">
        <v>1929</v>
      </c>
      <c r="Y46" s="177" t="s">
        <v>134</v>
      </c>
      <c r="Z46" s="177" t="s">
        <v>413</v>
      </c>
      <c r="AA46" s="177" t="s">
        <v>2118</v>
      </c>
      <c r="AB46" s="177" t="s">
        <v>2211</v>
      </c>
      <c r="AC46" s="177" t="s">
        <v>2295</v>
      </c>
      <c r="AD46" s="177" t="s">
        <v>808</v>
      </c>
      <c r="AE46" s="177" t="s">
        <v>1929</v>
      </c>
      <c r="AF46" s="177" t="s">
        <v>134</v>
      </c>
      <c r="AG46" s="177" t="s">
        <v>2611</v>
      </c>
      <c r="AH46" s="177" t="s">
        <v>134</v>
      </c>
      <c r="AI46" s="177" t="s">
        <v>2750</v>
      </c>
      <c r="AJ46" s="177" t="s">
        <v>2835</v>
      </c>
      <c r="AK46" s="177" t="s">
        <v>2916</v>
      </c>
      <c r="AL46" s="177" t="s">
        <v>2993</v>
      </c>
      <c r="AM46" s="177" t="s">
        <v>3058</v>
      </c>
      <c r="AN46" s="177" t="s">
        <v>808</v>
      </c>
      <c r="AO46" s="177" t="s">
        <v>134</v>
      </c>
      <c r="AP46" s="177" t="s">
        <v>1158</v>
      </c>
      <c r="AQ46" s="177" t="s">
        <v>414</v>
      </c>
      <c r="AR46" s="177" t="s">
        <v>3396</v>
      </c>
      <c r="AS46" s="177" t="s">
        <v>3475</v>
      </c>
      <c r="AT46" s="177" t="s">
        <v>3566</v>
      </c>
      <c r="AU46" s="177" t="s">
        <v>3651</v>
      </c>
      <c r="AV46" s="177" t="s">
        <v>3731</v>
      </c>
      <c r="AW46" s="181" t="str">
        <f>IF('Custom Language and Timezone'!E52&lt;&gt;"",'Custom Language and Timezone'!E52,'Custom Language and Timezone'!C52)</f>
        <v>Champion</v>
      </c>
    </row>
    <row r="47" spans="1:49" x14ac:dyDescent="0.2">
      <c r="A47" s="181">
        <v>46</v>
      </c>
      <c r="B47" s="186" t="s">
        <v>135</v>
      </c>
      <c r="C47" s="181" t="s">
        <v>135</v>
      </c>
      <c r="D47" s="181" t="s">
        <v>625</v>
      </c>
      <c r="E47" s="182" t="s">
        <v>717</v>
      </c>
      <c r="F47" s="182" t="s">
        <v>809</v>
      </c>
      <c r="G47" s="177" t="s">
        <v>3652</v>
      </c>
      <c r="H47" s="177" t="s">
        <v>894</v>
      </c>
      <c r="I47" s="177" t="s">
        <v>986</v>
      </c>
      <c r="J47" s="177" t="s">
        <v>986</v>
      </c>
      <c r="K47" s="177" t="s">
        <v>3866</v>
      </c>
      <c r="L47" s="177" t="s">
        <v>1159</v>
      </c>
      <c r="M47" s="177" t="s">
        <v>135</v>
      </c>
      <c r="N47" s="177" t="s">
        <v>415</v>
      </c>
      <c r="O47" s="181" t="s">
        <v>135</v>
      </c>
      <c r="P47" s="177" t="s">
        <v>1359</v>
      </c>
      <c r="Q47" s="177" t="s">
        <v>1432</v>
      </c>
      <c r="R47" s="177" t="s">
        <v>135</v>
      </c>
      <c r="S47" s="177" t="s">
        <v>416</v>
      </c>
      <c r="T47" s="177" t="s">
        <v>1662</v>
      </c>
      <c r="U47" s="177" t="s">
        <v>1755</v>
      </c>
      <c r="V47" s="177" t="s">
        <v>3944</v>
      </c>
      <c r="W47" s="177" t="s">
        <v>1846</v>
      </c>
      <c r="X47" s="177" t="s">
        <v>1930</v>
      </c>
      <c r="Y47" s="177" t="s">
        <v>135</v>
      </c>
      <c r="Z47" s="177" t="s">
        <v>2029</v>
      </c>
      <c r="AA47" s="177" t="s">
        <v>2119</v>
      </c>
      <c r="AB47" s="177" t="s">
        <v>2212</v>
      </c>
      <c r="AC47" s="177" t="s">
        <v>2296</v>
      </c>
      <c r="AD47" s="177" t="s">
        <v>2383</v>
      </c>
      <c r="AE47" s="177" t="s">
        <v>2447</v>
      </c>
      <c r="AF47" s="177" t="s">
        <v>135</v>
      </c>
      <c r="AG47" s="177" t="s">
        <v>2612</v>
      </c>
      <c r="AH47" s="177" t="s">
        <v>2674</v>
      </c>
      <c r="AI47" s="177" t="s">
        <v>2751</v>
      </c>
      <c r="AJ47" s="177" t="s">
        <v>2836</v>
      </c>
      <c r="AK47" s="177" t="s">
        <v>2917</v>
      </c>
      <c r="AL47" s="177" t="s">
        <v>2994</v>
      </c>
      <c r="AM47" s="177" t="s">
        <v>3059</v>
      </c>
      <c r="AN47" s="177" t="s">
        <v>3132</v>
      </c>
      <c r="AO47" s="177" t="s">
        <v>135</v>
      </c>
      <c r="AP47" s="177" t="s">
        <v>135</v>
      </c>
      <c r="AQ47" s="177" t="s">
        <v>3322</v>
      </c>
      <c r="AR47" s="177" t="s">
        <v>135</v>
      </c>
      <c r="AS47" s="177" t="s">
        <v>3476</v>
      </c>
      <c r="AT47" s="177" t="s">
        <v>3567</v>
      </c>
      <c r="AU47" s="177" t="s">
        <v>3652</v>
      </c>
      <c r="AV47" s="177" t="s">
        <v>3732</v>
      </c>
      <c r="AW47" s="181" t="str">
        <f>IF('Custom Language and Timezone'!E53&lt;&gt;"",'Custom Language and Timezone'!E53,'Custom Language and Timezone'!C53)</f>
        <v>Match #</v>
      </c>
    </row>
    <row r="48" spans="1:49" x14ac:dyDescent="0.2">
      <c r="A48" s="181">
        <v>47</v>
      </c>
      <c r="B48" s="181" t="s">
        <v>136</v>
      </c>
      <c r="C48" s="181" t="s">
        <v>535</v>
      </c>
      <c r="D48" s="181" t="s">
        <v>626</v>
      </c>
      <c r="E48" s="182" t="s">
        <v>718</v>
      </c>
      <c r="F48" s="182" t="s">
        <v>810</v>
      </c>
      <c r="G48" s="177" t="s">
        <v>3799</v>
      </c>
      <c r="H48" s="177" t="s">
        <v>895</v>
      </c>
      <c r="I48" s="177" t="s">
        <v>987</v>
      </c>
      <c r="J48" s="177" t="s">
        <v>1070</v>
      </c>
      <c r="K48" s="177" t="s">
        <v>3867</v>
      </c>
      <c r="L48" s="177" t="s">
        <v>1160</v>
      </c>
      <c r="M48" s="177" t="s">
        <v>1233</v>
      </c>
      <c r="N48" s="177" t="s">
        <v>417</v>
      </c>
      <c r="O48" s="181" t="s">
        <v>136</v>
      </c>
      <c r="P48" s="177" t="s">
        <v>1360</v>
      </c>
      <c r="Q48" s="177" t="s">
        <v>1433</v>
      </c>
      <c r="R48" s="177" t="s">
        <v>1519</v>
      </c>
      <c r="S48" s="177" t="s">
        <v>1582</v>
      </c>
      <c r="T48" s="177" t="s">
        <v>1663</v>
      </c>
      <c r="U48" s="177" t="s">
        <v>1756</v>
      </c>
      <c r="V48" s="177" t="s">
        <v>3945</v>
      </c>
      <c r="W48" s="177" t="s">
        <v>1847</v>
      </c>
      <c r="X48" s="177" t="s">
        <v>1931</v>
      </c>
      <c r="Y48" s="177" t="s">
        <v>136</v>
      </c>
      <c r="Z48" s="177" t="s">
        <v>2030</v>
      </c>
      <c r="AA48" s="177" t="s">
        <v>2120</v>
      </c>
      <c r="AB48" s="177" t="s">
        <v>2213</v>
      </c>
      <c r="AC48" s="177" t="s">
        <v>2297</v>
      </c>
      <c r="AD48" s="177" t="s">
        <v>2384</v>
      </c>
      <c r="AE48" s="177" t="s">
        <v>2448</v>
      </c>
      <c r="AF48" s="177" t="s">
        <v>2524</v>
      </c>
      <c r="AG48" s="177" t="s">
        <v>2613</v>
      </c>
      <c r="AH48" s="177" t="s">
        <v>1582</v>
      </c>
      <c r="AI48" s="177" t="s">
        <v>2752</v>
      </c>
      <c r="AJ48" s="177" t="s">
        <v>2837</v>
      </c>
      <c r="AK48" s="177" t="s">
        <v>2918</v>
      </c>
      <c r="AL48" s="177" t="s">
        <v>2995</v>
      </c>
      <c r="AM48" s="177" t="s">
        <v>3060</v>
      </c>
      <c r="AN48" s="177" t="s">
        <v>3133</v>
      </c>
      <c r="AO48" s="177" t="s">
        <v>3213</v>
      </c>
      <c r="AP48" s="177" t="s">
        <v>3274</v>
      </c>
      <c r="AQ48" s="177" t="s">
        <v>3323</v>
      </c>
      <c r="AR48" s="177" t="s">
        <v>3397</v>
      </c>
      <c r="AS48" s="177" t="s">
        <v>3477</v>
      </c>
      <c r="AT48" s="177" t="s">
        <v>3568</v>
      </c>
      <c r="AU48" s="177" t="s">
        <v>3653</v>
      </c>
      <c r="AV48" s="177" t="s">
        <v>3733</v>
      </c>
      <c r="AW48" s="181" t="str">
        <f>IF('Custom Language and Timezone'!E54&lt;&gt;"",'Custom Language and Timezone'!E54,'Custom Language and Timezone'!C54)</f>
        <v>Group A Winner</v>
      </c>
    </row>
    <row r="49" spans="1:49" x14ac:dyDescent="0.2">
      <c r="A49" s="181">
        <v>48</v>
      </c>
      <c r="B49" s="181" t="s">
        <v>137</v>
      </c>
      <c r="C49" s="181" t="s">
        <v>536</v>
      </c>
      <c r="D49" s="181" t="s">
        <v>627</v>
      </c>
      <c r="E49" s="182" t="s">
        <v>719</v>
      </c>
      <c r="F49" s="182" t="s">
        <v>811</v>
      </c>
      <c r="G49" s="177" t="s">
        <v>3800</v>
      </c>
      <c r="H49" s="177" t="s">
        <v>896</v>
      </c>
      <c r="I49" s="177" t="s">
        <v>988</v>
      </c>
      <c r="J49" s="177" t="s">
        <v>1071</v>
      </c>
      <c r="K49" s="177" t="s">
        <v>3868</v>
      </c>
      <c r="L49" s="177" t="s">
        <v>1161</v>
      </c>
      <c r="M49" s="177" t="s">
        <v>1234</v>
      </c>
      <c r="N49" s="177" t="s">
        <v>418</v>
      </c>
      <c r="O49" s="181" t="s">
        <v>137</v>
      </c>
      <c r="P49" s="177" t="s">
        <v>1361</v>
      </c>
      <c r="Q49" s="177" t="s">
        <v>1434</v>
      </c>
      <c r="R49" s="177" t="s">
        <v>1520</v>
      </c>
      <c r="S49" s="177" t="s">
        <v>1583</v>
      </c>
      <c r="T49" s="177" t="s">
        <v>1664</v>
      </c>
      <c r="U49" s="177" t="s">
        <v>1757</v>
      </c>
      <c r="V49" s="177" t="s">
        <v>3946</v>
      </c>
      <c r="W49" s="177" t="s">
        <v>1848</v>
      </c>
      <c r="X49" s="177" t="s">
        <v>1932</v>
      </c>
      <c r="Y49" s="177" t="s">
        <v>137</v>
      </c>
      <c r="Z49" s="177" t="s">
        <v>2031</v>
      </c>
      <c r="AA49" s="177" t="s">
        <v>2121</v>
      </c>
      <c r="AB49" s="177" t="s">
        <v>2214</v>
      </c>
      <c r="AC49" s="177" t="s">
        <v>2298</v>
      </c>
      <c r="AD49" s="177" t="s">
        <v>2385</v>
      </c>
      <c r="AE49" s="177" t="s">
        <v>2449</v>
      </c>
      <c r="AF49" s="177" t="s">
        <v>2525</v>
      </c>
      <c r="AG49" s="177" t="s">
        <v>2614</v>
      </c>
      <c r="AH49" s="177" t="s">
        <v>2675</v>
      </c>
      <c r="AI49" s="177" t="s">
        <v>2753</v>
      </c>
      <c r="AJ49" s="177" t="s">
        <v>2838</v>
      </c>
      <c r="AK49" s="177" t="s">
        <v>2919</v>
      </c>
      <c r="AL49" s="177" t="s">
        <v>2996</v>
      </c>
      <c r="AM49" s="177" t="s">
        <v>3061</v>
      </c>
      <c r="AN49" s="177" t="s">
        <v>3134</v>
      </c>
      <c r="AO49" s="177" t="s">
        <v>3214</v>
      </c>
      <c r="AP49" s="177" t="s">
        <v>3275</v>
      </c>
      <c r="AQ49" s="177" t="s">
        <v>3324</v>
      </c>
      <c r="AR49" s="177" t="s">
        <v>3398</v>
      </c>
      <c r="AS49" s="177" t="s">
        <v>3478</v>
      </c>
      <c r="AT49" s="177" t="s">
        <v>3569</v>
      </c>
      <c r="AU49" s="177" t="s">
        <v>3654</v>
      </c>
      <c r="AV49" s="177" t="s">
        <v>3734</v>
      </c>
      <c r="AW49" s="181" t="str">
        <f>IF('Custom Language and Timezone'!E55&lt;&gt;"",'Custom Language and Timezone'!E55,'Custom Language and Timezone'!C55)</f>
        <v>Group B Winner</v>
      </c>
    </row>
    <row r="50" spans="1:49" x14ac:dyDescent="0.2">
      <c r="A50" s="181">
        <v>49</v>
      </c>
      <c r="B50" s="181" t="s">
        <v>138</v>
      </c>
      <c r="C50" s="181" t="s">
        <v>537</v>
      </c>
      <c r="D50" s="181" t="s">
        <v>628</v>
      </c>
      <c r="E50" s="182" t="s">
        <v>720</v>
      </c>
      <c r="F50" s="182" t="s">
        <v>812</v>
      </c>
      <c r="G50" s="177" t="s">
        <v>3801</v>
      </c>
      <c r="H50" s="177" t="s">
        <v>897</v>
      </c>
      <c r="I50" s="177" t="s">
        <v>989</v>
      </c>
      <c r="J50" s="177" t="s">
        <v>1072</v>
      </c>
      <c r="K50" s="177" t="s">
        <v>3869</v>
      </c>
      <c r="L50" s="177" t="s">
        <v>1162</v>
      </c>
      <c r="M50" s="177" t="s">
        <v>1235</v>
      </c>
      <c r="N50" s="177" t="s">
        <v>419</v>
      </c>
      <c r="O50" s="181" t="s">
        <v>138</v>
      </c>
      <c r="P50" s="177" t="s">
        <v>1362</v>
      </c>
      <c r="Q50" s="177" t="s">
        <v>420</v>
      </c>
      <c r="R50" s="177" t="s">
        <v>1521</v>
      </c>
      <c r="S50" s="177" t="s">
        <v>1584</v>
      </c>
      <c r="T50" s="177" t="s">
        <v>1665</v>
      </c>
      <c r="U50" s="177" t="s">
        <v>1758</v>
      </c>
      <c r="V50" s="177" t="s">
        <v>3947</v>
      </c>
      <c r="W50" s="177" t="s">
        <v>1849</v>
      </c>
      <c r="X50" s="177" t="s">
        <v>1933</v>
      </c>
      <c r="Y50" s="177" t="s">
        <v>138</v>
      </c>
      <c r="Z50" s="177" t="s">
        <v>2032</v>
      </c>
      <c r="AA50" s="177" t="s">
        <v>2122</v>
      </c>
      <c r="AB50" s="177" t="s">
        <v>2215</v>
      </c>
      <c r="AC50" s="177" t="s">
        <v>2299</v>
      </c>
      <c r="AD50" s="177" t="s">
        <v>2386</v>
      </c>
      <c r="AE50" s="177" t="s">
        <v>2450</v>
      </c>
      <c r="AF50" s="177" t="s">
        <v>2526</v>
      </c>
      <c r="AG50" s="177" t="s">
        <v>2615</v>
      </c>
      <c r="AH50" s="177" t="s">
        <v>2676</v>
      </c>
      <c r="AI50" s="177" t="s">
        <v>2754</v>
      </c>
      <c r="AJ50" s="177" t="s">
        <v>2839</v>
      </c>
      <c r="AK50" s="177" t="s">
        <v>2920</v>
      </c>
      <c r="AL50" s="177" t="s">
        <v>2997</v>
      </c>
      <c r="AM50" s="177" t="s">
        <v>3062</v>
      </c>
      <c r="AN50" s="177" t="s">
        <v>3135</v>
      </c>
      <c r="AO50" s="177" t="s">
        <v>3215</v>
      </c>
      <c r="AP50" s="177" t="s">
        <v>3276</v>
      </c>
      <c r="AQ50" s="177" t="s">
        <v>3325</v>
      </c>
      <c r="AR50" s="177" t="s">
        <v>3399</v>
      </c>
      <c r="AS50" s="177" t="s">
        <v>3479</v>
      </c>
      <c r="AT50" s="177" t="s">
        <v>3570</v>
      </c>
      <c r="AU50" s="177" t="s">
        <v>3655</v>
      </c>
      <c r="AV50" s="177" t="s">
        <v>3735</v>
      </c>
      <c r="AW50" s="181" t="str">
        <f>IF('Custom Language and Timezone'!E56&lt;&gt;"",'Custom Language and Timezone'!E56,'Custom Language and Timezone'!C56)</f>
        <v>Group C Winner</v>
      </c>
    </row>
    <row r="51" spans="1:49" x14ac:dyDescent="0.2">
      <c r="A51" s="181">
        <v>50</v>
      </c>
      <c r="B51" s="181" t="s">
        <v>139</v>
      </c>
      <c r="C51" s="181" t="s">
        <v>538</v>
      </c>
      <c r="D51" s="181" t="s">
        <v>629</v>
      </c>
      <c r="E51" s="182" t="s">
        <v>721</v>
      </c>
      <c r="F51" s="182" t="s">
        <v>813</v>
      </c>
      <c r="G51" s="177" t="s">
        <v>3802</v>
      </c>
      <c r="H51" s="177" t="s">
        <v>898</v>
      </c>
      <c r="I51" s="177" t="s">
        <v>990</v>
      </c>
      <c r="J51" s="177" t="s">
        <v>1073</v>
      </c>
      <c r="K51" s="177" t="s">
        <v>3870</v>
      </c>
      <c r="L51" s="177" t="s">
        <v>1163</v>
      </c>
      <c r="M51" s="177" t="s">
        <v>1236</v>
      </c>
      <c r="N51" s="177" t="s">
        <v>421</v>
      </c>
      <c r="O51" s="181" t="s">
        <v>139</v>
      </c>
      <c r="P51" s="177" t="s">
        <v>1363</v>
      </c>
      <c r="Q51" s="177" t="s">
        <v>422</v>
      </c>
      <c r="R51" s="177" t="s">
        <v>1522</v>
      </c>
      <c r="S51" s="177" t="s">
        <v>1585</v>
      </c>
      <c r="T51" s="177" t="s">
        <v>1666</v>
      </c>
      <c r="U51" s="177" t="s">
        <v>1759</v>
      </c>
      <c r="V51" s="177" t="s">
        <v>3948</v>
      </c>
      <c r="W51" s="177" t="s">
        <v>1850</v>
      </c>
      <c r="X51" s="177" t="s">
        <v>1934</v>
      </c>
      <c r="Y51" s="177" t="s">
        <v>139</v>
      </c>
      <c r="Z51" s="177" t="s">
        <v>2033</v>
      </c>
      <c r="AA51" s="177" t="s">
        <v>2123</v>
      </c>
      <c r="AB51" s="177" t="s">
        <v>2216</v>
      </c>
      <c r="AC51" s="177" t="s">
        <v>2300</v>
      </c>
      <c r="AD51" s="177" t="s">
        <v>2387</v>
      </c>
      <c r="AE51" s="177" t="s">
        <v>2451</v>
      </c>
      <c r="AF51" s="177" t="s">
        <v>2527</v>
      </c>
      <c r="AG51" s="177" t="s">
        <v>2616</v>
      </c>
      <c r="AH51" s="177" t="s">
        <v>2677</v>
      </c>
      <c r="AI51" s="177" t="s">
        <v>2755</v>
      </c>
      <c r="AJ51" s="177" t="s">
        <v>2840</v>
      </c>
      <c r="AK51" s="177" t="s">
        <v>2921</v>
      </c>
      <c r="AL51" s="177" t="s">
        <v>2998</v>
      </c>
      <c r="AM51" s="177" t="s">
        <v>3063</v>
      </c>
      <c r="AN51" s="177" t="s">
        <v>3136</v>
      </c>
      <c r="AO51" s="177" t="s">
        <v>3216</v>
      </c>
      <c r="AP51" s="177" t="s">
        <v>3277</v>
      </c>
      <c r="AQ51" s="177" t="s">
        <v>3326</v>
      </c>
      <c r="AR51" s="177" t="s">
        <v>3400</v>
      </c>
      <c r="AS51" s="177" t="s">
        <v>3480</v>
      </c>
      <c r="AT51" s="177" t="s">
        <v>3571</v>
      </c>
      <c r="AU51" s="177" t="s">
        <v>3656</v>
      </c>
      <c r="AV51" s="177" t="s">
        <v>3736</v>
      </c>
      <c r="AW51" s="181" t="str">
        <f>IF('Custom Language and Timezone'!E57&lt;&gt;"",'Custom Language and Timezone'!E57,'Custom Language and Timezone'!C57)</f>
        <v>Group D Winner</v>
      </c>
    </row>
    <row r="52" spans="1:49" x14ac:dyDescent="0.2">
      <c r="A52" s="181">
        <v>51</v>
      </c>
      <c r="B52" s="181" t="s">
        <v>140</v>
      </c>
      <c r="C52" s="181" t="s">
        <v>539</v>
      </c>
      <c r="D52" s="181" t="s">
        <v>630</v>
      </c>
      <c r="E52" s="182" t="s">
        <v>722</v>
      </c>
      <c r="F52" s="182" t="s">
        <v>814</v>
      </c>
      <c r="G52" s="177" t="s">
        <v>3803</v>
      </c>
      <c r="H52" s="177" t="s">
        <v>899</v>
      </c>
      <c r="I52" s="177" t="s">
        <v>991</v>
      </c>
      <c r="J52" s="177" t="s">
        <v>1074</v>
      </c>
      <c r="K52" s="177" t="s">
        <v>3871</v>
      </c>
      <c r="L52" s="177" t="s">
        <v>1164</v>
      </c>
      <c r="M52" s="177" t="s">
        <v>1237</v>
      </c>
      <c r="N52" s="177" t="s">
        <v>423</v>
      </c>
      <c r="O52" s="181" t="s">
        <v>140</v>
      </c>
      <c r="P52" s="177" t="s">
        <v>1364</v>
      </c>
      <c r="Q52" s="177" t="s">
        <v>1435</v>
      </c>
      <c r="R52" s="177" t="s">
        <v>1523</v>
      </c>
      <c r="S52" s="177" t="s">
        <v>1586</v>
      </c>
      <c r="T52" s="177" t="s">
        <v>1667</v>
      </c>
      <c r="U52" s="177" t="s">
        <v>1760</v>
      </c>
      <c r="V52" s="177" t="s">
        <v>3949</v>
      </c>
      <c r="W52" s="177" t="s">
        <v>1851</v>
      </c>
      <c r="X52" s="177" t="s">
        <v>1935</v>
      </c>
      <c r="Y52" s="177" t="s">
        <v>140</v>
      </c>
      <c r="Z52" s="177" t="s">
        <v>2034</v>
      </c>
      <c r="AA52" s="177" t="s">
        <v>2124</v>
      </c>
      <c r="AB52" s="177" t="s">
        <v>2217</v>
      </c>
      <c r="AC52" s="177" t="s">
        <v>2301</v>
      </c>
      <c r="AD52" s="177" t="s">
        <v>2388</v>
      </c>
      <c r="AE52" s="177" t="s">
        <v>2452</v>
      </c>
      <c r="AF52" s="177" t="s">
        <v>2528</v>
      </c>
      <c r="AG52" s="177" t="s">
        <v>2617</v>
      </c>
      <c r="AH52" s="177" t="s">
        <v>2678</v>
      </c>
      <c r="AI52" s="177" t="s">
        <v>2756</v>
      </c>
      <c r="AJ52" s="177" t="s">
        <v>2841</v>
      </c>
      <c r="AK52" s="177" t="s">
        <v>2922</v>
      </c>
      <c r="AL52" s="177" t="s">
        <v>2999</v>
      </c>
      <c r="AM52" s="177" t="s">
        <v>3064</v>
      </c>
      <c r="AN52" s="177" t="s">
        <v>3137</v>
      </c>
      <c r="AO52" s="177" t="s">
        <v>3217</v>
      </c>
      <c r="AP52" s="177" t="s">
        <v>3278</v>
      </c>
      <c r="AQ52" s="177" t="s">
        <v>3327</v>
      </c>
      <c r="AR52" s="177" t="s">
        <v>3401</v>
      </c>
      <c r="AS52" s="177" t="s">
        <v>3481</v>
      </c>
      <c r="AT52" s="177" t="s">
        <v>3572</v>
      </c>
      <c r="AU52" s="177" t="s">
        <v>3657</v>
      </c>
      <c r="AV52" s="177" t="s">
        <v>3737</v>
      </c>
      <c r="AW52" s="181" t="str">
        <f>IF('Custom Language and Timezone'!E58&lt;&gt;"",'Custom Language and Timezone'!E58,'Custom Language and Timezone'!C58)</f>
        <v>Group E Winner</v>
      </c>
    </row>
    <row r="53" spans="1:49" x14ac:dyDescent="0.2">
      <c r="A53" s="181">
        <v>52</v>
      </c>
      <c r="B53" s="181" t="s">
        <v>141</v>
      </c>
      <c r="C53" s="181" t="s">
        <v>540</v>
      </c>
      <c r="D53" s="181" t="s">
        <v>631</v>
      </c>
      <c r="E53" s="182" t="s">
        <v>723</v>
      </c>
      <c r="F53" s="182" t="s">
        <v>815</v>
      </c>
      <c r="G53" s="177" t="s">
        <v>3804</v>
      </c>
      <c r="H53" s="177" t="s">
        <v>900</v>
      </c>
      <c r="I53" s="177" t="s">
        <v>992</v>
      </c>
      <c r="J53" s="177" t="s">
        <v>1075</v>
      </c>
      <c r="K53" s="177" t="s">
        <v>3872</v>
      </c>
      <c r="L53" s="177" t="s">
        <v>1165</v>
      </c>
      <c r="M53" s="177" t="s">
        <v>1238</v>
      </c>
      <c r="N53" s="177" t="s">
        <v>424</v>
      </c>
      <c r="O53" s="181" t="s">
        <v>141</v>
      </c>
      <c r="P53" s="177" t="s">
        <v>1365</v>
      </c>
      <c r="Q53" s="177" t="s">
        <v>425</v>
      </c>
      <c r="R53" s="177" t="s">
        <v>1524</v>
      </c>
      <c r="S53" s="177" t="s">
        <v>1587</v>
      </c>
      <c r="T53" s="177" t="s">
        <v>1668</v>
      </c>
      <c r="U53" s="177" t="s">
        <v>1761</v>
      </c>
      <c r="V53" s="177" t="s">
        <v>3950</v>
      </c>
      <c r="W53" s="177" t="s">
        <v>1852</v>
      </c>
      <c r="X53" s="177" t="s">
        <v>1936</v>
      </c>
      <c r="Y53" s="177" t="s">
        <v>141</v>
      </c>
      <c r="Z53" s="177" t="s">
        <v>2035</v>
      </c>
      <c r="AA53" s="177" t="s">
        <v>2125</v>
      </c>
      <c r="AB53" s="177" t="s">
        <v>2218</v>
      </c>
      <c r="AC53" s="177" t="s">
        <v>2302</v>
      </c>
      <c r="AD53" s="177" t="s">
        <v>2389</v>
      </c>
      <c r="AE53" s="177" t="s">
        <v>2453</v>
      </c>
      <c r="AF53" s="177" t="s">
        <v>2529</v>
      </c>
      <c r="AG53" s="177" t="s">
        <v>2618</v>
      </c>
      <c r="AH53" s="177" t="s">
        <v>2679</v>
      </c>
      <c r="AI53" s="177" t="s">
        <v>2757</v>
      </c>
      <c r="AJ53" s="177" t="s">
        <v>2842</v>
      </c>
      <c r="AK53" s="177" t="s">
        <v>2923</v>
      </c>
      <c r="AL53" s="177" t="s">
        <v>3000</v>
      </c>
      <c r="AM53" s="177" t="s">
        <v>3065</v>
      </c>
      <c r="AN53" s="177" t="s">
        <v>3138</v>
      </c>
      <c r="AO53" s="177" t="s">
        <v>3218</v>
      </c>
      <c r="AP53" s="177" t="s">
        <v>3279</v>
      </c>
      <c r="AQ53" s="177" t="s">
        <v>3328</v>
      </c>
      <c r="AR53" s="177" t="s">
        <v>3402</v>
      </c>
      <c r="AS53" s="177" t="s">
        <v>3482</v>
      </c>
      <c r="AT53" s="177" t="s">
        <v>3573</v>
      </c>
      <c r="AU53" s="177" t="s">
        <v>3658</v>
      </c>
      <c r="AV53" s="177" t="s">
        <v>3738</v>
      </c>
      <c r="AW53" s="181" t="str">
        <f>IF('Custom Language and Timezone'!E59&lt;&gt;"",'Custom Language and Timezone'!E59,'Custom Language and Timezone'!C59)</f>
        <v>Group F Winner</v>
      </c>
    </row>
    <row r="54" spans="1:49" x14ac:dyDescent="0.2">
      <c r="A54" s="181">
        <v>53</v>
      </c>
      <c r="B54" s="181" t="s">
        <v>142</v>
      </c>
      <c r="C54" s="181" t="s">
        <v>541</v>
      </c>
      <c r="D54" s="181" t="s">
        <v>632</v>
      </c>
      <c r="E54" s="182" t="s">
        <v>724</v>
      </c>
      <c r="F54" s="182" t="s">
        <v>816</v>
      </c>
      <c r="G54" s="177" t="s">
        <v>3805</v>
      </c>
      <c r="H54" s="177" t="s">
        <v>901</v>
      </c>
      <c r="I54" s="177" t="s">
        <v>993</v>
      </c>
      <c r="J54" s="177" t="s">
        <v>1076</v>
      </c>
      <c r="K54" s="177" t="s">
        <v>3219</v>
      </c>
      <c r="L54" s="177" t="s">
        <v>1166</v>
      </c>
      <c r="M54" s="177" t="s">
        <v>1239</v>
      </c>
      <c r="N54" s="177" t="s">
        <v>541</v>
      </c>
      <c r="O54" s="181" t="s">
        <v>142</v>
      </c>
      <c r="P54" s="177" t="s">
        <v>1366</v>
      </c>
      <c r="Q54" s="177" t="s">
        <v>1436</v>
      </c>
      <c r="R54" s="177" t="s">
        <v>1525</v>
      </c>
      <c r="S54" s="177" t="s">
        <v>1239</v>
      </c>
      <c r="T54" s="177" t="s">
        <v>1669</v>
      </c>
      <c r="U54" s="177" t="s">
        <v>1762</v>
      </c>
      <c r="V54" s="177" t="s">
        <v>3951</v>
      </c>
      <c r="W54" s="177" t="s">
        <v>1853</v>
      </c>
      <c r="X54" s="177" t="s">
        <v>1937</v>
      </c>
      <c r="Y54" s="177" t="s">
        <v>142</v>
      </c>
      <c r="Z54" s="177" t="s">
        <v>2036</v>
      </c>
      <c r="AA54" s="177" t="s">
        <v>2126</v>
      </c>
      <c r="AB54" s="177" t="s">
        <v>2219</v>
      </c>
      <c r="AC54" s="177" t="s">
        <v>2303</v>
      </c>
      <c r="AD54" s="177" t="s">
        <v>2390</v>
      </c>
      <c r="AE54" s="177" t="s">
        <v>2454</v>
      </c>
      <c r="AF54" s="177" t="s">
        <v>2530</v>
      </c>
      <c r="AG54" s="177" t="s">
        <v>2619</v>
      </c>
      <c r="AH54" s="177" t="s">
        <v>1239</v>
      </c>
      <c r="AI54" s="177" t="s">
        <v>2758</v>
      </c>
      <c r="AJ54" s="177" t="s">
        <v>2843</v>
      </c>
      <c r="AK54" s="177" t="s">
        <v>2924</v>
      </c>
      <c r="AL54" s="177" t="s">
        <v>2843</v>
      </c>
      <c r="AM54" s="177" t="s">
        <v>3066</v>
      </c>
      <c r="AN54" s="177" t="s">
        <v>3139</v>
      </c>
      <c r="AO54" s="177" t="s">
        <v>3219</v>
      </c>
      <c r="AP54" s="177" t="s">
        <v>3219</v>
      </c>
      <c r="AQ54" s="177" t="s">
        <v>3329</v>
      </c>
      <c r="AR54" s="177" t="s">
        <v>2530</v>
      </c>
      <c r="AS54" s="177" t="s">
        <v>3483</v>
      </c>
      <c r="AT54" s="177" t="s">
        <v>3574</v>
      </c>
      <c r="AU54" s="177" t="s">
        <v>3659</v>
      </c>
      <c r="AV54" s="177" t="s">
        <v>3739</v>
      </c>
      <c r="AW54" s="181" t="str">
        <f>IF('Custom Language and Timezone'!E60&lt;&gt;"",'Custom Language and Timezone'!E60,'Custom Language and Timezone'!C60)</f>
        <v>Group A Runner Up</v>
      </c>
    </row>
    <row r="55" spans="1:49" x14ac:dyDescent="0.2">
      <c r="A55" s="181">
        <v>54</v>
      </c>
      <c r="B55" s="181" t="s">
        <v>143</v>
      </c>
      <c r="C55" s="181" t="s">
        <v>542</v>
      </c>
      <c r="D55" s="181" t="s">
        <v>633</v>
      </c>
      <c r="E55" s="182" t="s">
        <v>725</v>
      </c>
      <c r="F55" s="182" t="s">
        <v>817</v>
      </c>
      <c r="G55" s="177" t="s">
        <v>3806</v>
      </c>
      <c r="H55" s="177" t="s">
        <v>902</v>
      </c>
      <c r="I55" s="177" t="s">
        <v>994</v>
      </c>
      <c r="J55" s="177" t="s">
        <v>1077</v>
      </c>
      <c r="K55" s="177" t="s">
        <v>3220</v>
      </c>
      <c r="L55" s="177" t="s">
        <v>1167</v>
      </c>
      <c r="M55" s="177" t="s">
        <v>1240</v>
      </c>
      <c r="N55" s="177" t="s">
        <v>542</v>
      </c>
      <c r="O55" s="181" t="s">
        <v>143</v>
      </c>
      <c r="P55" s="177" t="s">
        <v>1367</v>
      </c>
      <c r="Q55" s="177" t="s">
        <v>1437</v>
      </c>
      <c r="R55" s="177" t="s">
        <v>1526</v>
      </c>
      <c r="S55" s="177" t="s">
        <v>1240</v>
      </c>
      <c r="T55" s="177" t="s">
        <v>1670</v>
      </c>
      <c r="U55" s="177" t="s">
        <v>1763</v>
      </c>
      <c r="V55" s="177" t="s">
        <v>3952</v>
      </c>
      <c r="W55" s="177" t="s">
        <v>1854</v>
      </c>
      <c r="X55" s="177" t="s">
        <v>1938</v>
      </c>
      <c r="Y55" s="177" t="s">
        <v>143</v>
      </c>
      <c r="Z55" s="177" t="s">
        <v>2037</v>
      </c>
      <c r="AA55" s="177" t="s">
        <v>2127</v>
      </c>
      <c r="AB55" s="177" t="s">
        <v>2220</v>
      </c>
      <c r="AC55" s="177" t="s">
        <v>2304</v>
      </c>
      <c r="AD55" s="177" t="s">
        <v>2391</v>
      </c>
      <c r="AE55" s="177" t="s">
        <v>2455</v>
      </c>
      <c r="AF55" s="177" t="s">
        <v>2531</v>
      </c>
      <c r="AG55" s="177" t="s">
        <v>2620</v>
      </c>
      <c r="AH55" s="177" t="s">
        <v>1240</v>
      </c>
      <c r="AI55" s="177" t="s">
        <v>2759</v>
      </c>
      <c r="AJ55" s="177" t="s">
        <v>2844</v>
      </c>
      <c r="AK55" s="177" t="s">
        <v>2925</v>
      </c>
      <c r="AL55" s="177" t="s">
        <v>2844</v>
      </c>
      <c r="AM55" s="177" t="s">
        <v>3067</v>
      </c>
      <c r="AN55" s="177" t="s">
        <v>3140</v>
      </c>
      <c r="AO55" s="177" t="s">
        <v>3220</v>
      </c>
      <c r="AP55" s="177" t="s">
        <v>3220</v>
      </c>
      <c r="AQ55" s="177" t="s">
        <v>3330</v>
      </c>
      <c r="AR55" s="177" t="s">
        <v>2531</v>
      </c>
      <c r="AS55" s="177" t="s">
        <v>3484</v>
      </c>
      <c r="AT55" s="177" t="s">
        <v>3575</v>
      </c>
      <c r="AU55" s="177" t="s">
        <v>3660</v>
      </c>
      <c r="AV55" s="177" t="s">
        <v>3740</v>
      </c>
      <c r="AW55" s="181" t="str">
        <f>IF('Custom Language and Timezone'!E61&lt;&gt;"",'Custom Language and Timezone'!E61,'Custom Language and Timezone'!C61)</f>
        <v>Group B Runner Up</v>
      </c>
    </row>
    <row r="56" spans="1:49" x14ac:dyDescent="0.2">
      <c r="A56" s="181">
        <v>55</v>
      </c>
      <c r="B56" s="181" t="s">
        <v>144</v>
      </c>
      <c r="C56" s="181" t="s">
        <v>543</v>
      </c>
      <c r="D56" s="181" t="s">
        <v>634</v>
      </c>
      <c r="E56" s="182" t="s">
        <v>726</v>
      </c>
      <c r="F56" s="182" t="s">
        <v>818</v>
      </c>
      <c r="G56" s="177" t="s">
        <v>3807</v>
      </c>
      <c r="H56" s="177" t="s">
        <v>903</v>
      </c>
      <c r="I56" s="177" t="s">
        <v>995</v>
      </c>
      <c r="J56" s="177" t="s">
        <v>1078</v>
      </c>
      <c r="K56" s="177" t="s">
        <v>3221</v>
      </c>
      <c r="L56" s="177" t="s">
        <v>1168</v>
      </c>
      <c r="M56" s="177" t="s">
        <v>1241</v>
      </c>
      <c r="N56" s="177" t="s">
        <v>543</v>
      </c>
      <c r="O56" s="181" t="s">
        <v>144</v>
      </c>
      <c r="P56" s="177" t="s">
        <v>1368</v>
      </c>
      <c r="Q56" s="177" t="s">
        <v>1438</v>
      </c>
      <c r="R56" s="177" t="s">
        <v>1527</v>
      </c>
      <c r="S56" s="177" t="s">
        <v>1241</v>
      </c>
      <c r="T56" s="177" t="s">
        <v>1671</v>
      </c>
      <c r="U56" s="177" t="s">
        <v>1764</v>
      </c>
      <c r="V56" s="177" t="s">
        <v>3953</v>
      </c>
      <c r="W56" s="177" t="s">
        <v>1855</v>
      </c>
      <c r="X56" s="177" t="s">
        <v>1939</v>
      </c>
      <c r="Y56" s="177" t="s">
        <v>144</v>
      </c>
      <c r="Z56" s="177" t="s">
        <v>2038</v>
      </c>
      <c r="AA56" s="177" t="s">
        <v>2128</v>
      </c>
      <c r="AB56" s="177" t="s">
        <v>2221</v>
      </c>
      <c r="AC56" s="177" t="s">
        <v>2305</v>
      </c>
      <c r="AD56" s="177" t="s">
        <v>2392</v>
      </c>
      <c r="AE56" s="177" t="s">
        <v>2456</v>
      </c>
      <c r="AF56" s="177" t="s">
        <v>2532</v>
      </c>
      <c r="AG56" s="177" t="s">
        <v>2621</v>
      </c>
      <c r="AH56" s="177" t="s">
        <v>1241</v>
      </c>
      <c r="AI56" s="177" t="s">
        <v>2760</v>
      </c>
      <c r="AJ56" s="177" t="s">
        <v>2845</v>
      </c>
      <c r="AK56" s="177" t="s">
        <v>2926</v>
      </c>
      <c r="AL56" s="177" t="s">
        <v>2845</v>
      </c>
      <c r="AM56" s="177" t="s">
        <v>3068</v>
      </c>
      <c r="AN56" s="177" t="s">
        <v>3141</v>
      </c>
      <c r="AO56" s="177" t="s">
        <v>3221</v>
      </c>
      <c r="AP56" s="177" t="s">
        <v>3221</v>
      </c>
      <c r="AQ56" s="177" t="s">
        <v>3331</v>
      </c>
      <c r="AR56" s="177" t="s">
        <v>2532</v>
      </c>
      <c r="AS56" s="177" t="s">
        <v>3485</v>
      </c>
      <c r="AT56" s="177" t="s">
        <v>1939</v>
      </c>
      <c r="AU56" s="177" t="s">
        <v>3661</v>
      </c>
      <c r="AV56" s="177" t="s">
        <v>3741</v>
      </c>
      <c r="AW56" s="181" t="str">
        <f>IF('Custom Language and Timezone'!E62&lt;&gt;"",'Custom Language and Timezone'!E62,'Custom Language and Timezone'!C62)</f>
        <v>Group C Runner Up</v>
      </c>
    </row>
    <row r="57" spans="1:49" x14ac:dyDescent="0.2">
      <c r="A57" s="181">
        <v>56</v>
      </c>
      <c r="B57" s="181" t="s">
        <v>145</v>
      </c>
      <c r="C57" s="181" t="s">
        <v>544</v>
      </c>
      <c r="D57" s="181" t="s">
        <v>635</v>
      </c>
      <c r="E57" s="182" t="s">
        <v>727</v>
      </c>
      <c r="F57" s="182" t="s">
        <v>819</v>
      </c>
      <c r="G57" s="177" t="s">
        <v>3808</v>
      </c>
      <c r="H57" s="177" t="s">
        <v>904</v>
      </c>
      <c r="I57" s="177" t="s">
        <v>996</v>
      </c>
      <c r="J57" s="177" t="s">
        <v>1079</v>
      </c>
      <c r="K57" s="177" t="s">
        <v>3222</v>
      </c>
      <c r="L57" s="177" t="s">
        <v>1169</v>
      </c>
      <c r="M57" s="177" t="s">
        <v>1242</v>
      </c>
      <c r="N57" s="177" t="s">
        <v>544</v>
      </c>
      <c r="O57" s="181" t="s">
        <v>145</v>
      </c>
      <c r="P57" s="177" t="s">
        <v>1369</v>
      </c>
      <c r="Q57" s="177" t="s">
        <v>1439</v>
      </c>
      <c r="R57" s="177" t="s">
        <v>1528</v>
      </c>
      <c r="S57" s="177" t="s">
        <v>1242</v>
      </c>
      <c r="T57" s="177" t="s">
        <v>1672</v>
      </c>
      <c r="U57" s="177" t="s">
        <v>1765</v>
      </c>
      <c r="V57" s="177" t="s">
        <v>3954</v>
      </c>
      <c r="W57" s="177" t="s">
        <v>1856</v>
      </c>
      <c r="X57" s="177" t="s">
        <v>1940</v>
      </c>
      <c r="Y57" s="177" t="s">
        <v>1992</v>
      </c>
      <c r="Z57" s="177" t="s">
        <v>2039</v>
      </c>
      <c r="AA57" s="177" t="s">
        <v>2129</v>
      </c>
      <c r="AB57" s="177" t="s">
        <v>2222</v>
      </c>
      <c r="AC57" s="177" t="s">
        <v>2306</v>
      </c>
      <c r="AD57" s="177" t="s">
        <v>2393</v>
      </c>
      <c r="AE57" s="177" t="s">
        <v>2457</v>
      </c>
      <c r="AF57" s="177" t="s">
        <v>2533</v>
      </c>
      <c r="AG57" s="177" t="s">
        <v>2622</v>
      </c>
      <c r="AH57" s="177" t="s">
        <v>1242</v>
      </c>
      <c r="AI57" s="177" t="s">
        <v>2761</v>
      </c>
      <c r="AJ57" s="177" t="s">
        <v>2846</v>
      </c>
      <c r="AK57" s="177" t="s">
        <v>2927</v>
      </c>
      <c r="AL57" s="177" t="s">
        <v>2846</v>
      </c>
      <c r="AM57" s="177" t="s">
        <v>3069</v>
      </c>
      <c r="AN57" s="177" t="s">
        <v>3142</v>
      </c>
      <c r="AO57" s="177" t="s">
        <v>3222</v>
      </c>
      <c r="AP57" s="177" t="s">
        <v>3222</v>
      </c>
      <c r="AQ57" s="177" t="s">
        <v>3332</v>
      </c>
      <c r="AR57" s="177" t="s">
        <v>2533</v>
      </c>
      <c r="AS57" s="177" t="s">
        <v>3486</v>
      </c>
      <c r="AT57" s="177" t="s">
        <v>3576</v>
      </c>
      <c r="AU57" s="177" t="s">
        <v>3662</v>
      </c>
      <c r="AV57" s="177" t="s">
        <v>3742</v>
      </c>
      <c r="AW57" s="181" t="str">
        <f>IF('Custom Language and Timezone'!E63&lt;&gt;"",'Custom Language and Timezone'!E63,'Custom Language and Timezone'!C63)</f>
        <v>Group D Runner Up</v>
      </c>
    </row>
    <row r="58" spans="1:49" x14ac:dyDescent="0.2">
      <c r="A58" s="181">
        <v>57</v>
      </c>
      <c r="B58" s="181" t="s">
        <v>146</v>
      </c>
      <c r="C58" s="181" t="s">
        <v>545</v>
      </c>
      <c r="D58" s="181" t="s">
        <v>636</v>
      </c>
      <c r="E58" s="182" t="s">
        <v>728</v>
      </c>
      <c r="F58" s="182" t="s">
        <v>820</v>
      </c>
      <c r="G58" s="177" t="s">
        <v>3809</v>
      </c>
      <c r="H58" s="177" t="s">
        <v>905</v>
      </c>
      <c r="I58" s="177" t="s">
        <v>997</v>
      </c>
      <c r="J58" s="177" t="s">
        <v>1080</v>
      </c>
      <c r="K58" s="177" t="s">
        <v>3223</v>
      </c>
      <c r="L58" s="177" t="s">
        <v>1170</v>
      </c>
      <c r="M58" s="177" t="s">
        <v>1243</v>
      </c>
      <c r="N58" s="177" t="s">
        <v>545</v>
      </c>
      <c r="O58" s="181" t="s">
        <v>146</v>
      </c>
      <c r="P58" s="177" t="s">
        <v>1370</v>
      </c>
      <c r="Q58" s="177" t="s">
        <v>1440</v>
      </c>
      <c r="R58" s="177" t="s">
        <v>1529</v>
      </c>
      <c r="S58" s="177" t="s">
        <v>1243</v>
      </c>
      <c r="T58" s="177" t="s">
        <v>1673</v>
      </c>
      <c r="U58" s="177" t="s">
        <v>1766</v>
      </c>
      <c r="V58" s="177" t="s">
        <v>3955</v>
      </c>
      <c r="W58" s="177" t="s">
        <v>1857</v>
      </c>
      <c r="X58" s="177" t="s">
        <v>1941</v>
      </c>
      <c r="Y58" s="177" t="s">
        <v>146</v>
      </c>
      <c r="Z58" s="177" t="s">
        <v>2040</v>
      </c>
      <c r="AA58" s="177" t="s">
        <v>2130</v>
      </c>
      <c r="AB58" s="177" t="s">
        <v>2223</v>
      </c>
      <c r="AC58" s="177" t="s">
        <v>2307</v>
      </c>
      <c r="AD58" s="177" t="s">
        <v>2394</v>
      </c>
      <c r="AE58" s="177" t="s">
        <v>2458</v>
      </c>
      <c r="AF58" s="177" t="s">
        <v>2534</v>
      </c>
      <c r="AG58" s="177" t="s">
        <v>2623</v>
      </c>
      <c r="AH58" s="177" t="s">
        <v>1243</v>
      </c>
      <c r="AI58" s="177" t="s">
        <v>2762</v>
      </c>
      <c r="AJ58" s="177" t="s">
        <v>2847</v>
      </c>
      <c r="AK58" s="177" t="s">
        <v>2928</v>
      </c>
      <c r="AL58" s="177" t="s">
        <v>2847</v>
      </c>
      <c r="AM58" s="177" t="s">
        <v>3070</v>
      </c>
      <c r="AN58" s="177" t="s">
        <v>3143</v>
      </c>
      <c r="AO58" s="177" t="s">
        <v>3223</v>
      </c>
      <c r="AP58" s="177" t="s">
        <v>3223</v>
      </c>
      <c r="AQ58" s="177" t="s">
        <v>3333</v>
      </c>
      <c r="AR58" s="177" t="s">
        <v>2534</v>
      </c>
      <c r="AS58" s="177" t="s">
        <v>3487</v>
      </c>
      <c r="AT58" s="177" t="s">
        <v>1941</v>
      </c>
      <c r="AU58" s="177" t="s">
        <v>3663</v>
      </c>
      <c r="AV58" s="177" t="s">
        <v>3743</v>
      </c>
      <c r="AW58" s="181" t="str">
        <f>IF('Custom Language and Timezone'!E64&lt;&gt;"",'Custom Language and Timezone'!E64,'Custom Language and Timezone'!C64)</f>
        <v>Group E Runner Up</v>
      </c>
    </row>
    <row r="59" spans="1:49" x14ac:dyDescent="0.2">
      <c r="A59" s="181">
        <v>58</v>
      </c>
      <c r="B59" s="181" t="s">
        <v>147</v>
      </c>
      <c r="C59" s="181" t="s">
        <v>546</v>
      </c>
      <c r="D59" s="181" t="s">
        <v>637</v>
      </c>
      <c r="E59" s="182" t="s">
        <v>729</v>
      </c>
      <c r="F59" s="182" t="s">
        <v>821</v>
      </c>
      <c r="G59" s="177" t="s">
        <v>3810</v>
      </c>
      <c r="H59" s="177" t="s">
        <v>906</v>
      </c>
      <c r="I59" s="177" t="s">
        <v>998</v>
      </c>
      <c r="J59" s="177" t="s">
        <v>1081</v>
      </c>
      <c r="K59" s="177" t="s">
        <v>3224</v>
      </c>
      <c r="L59" s="177" t="s">
        <v>1171</v>
      </c>
      <c r="M59" s="177" t="s">
        <v>1244</v>
      </c>
      <c r="N59" s="177" t="s">
        <v>546</v>
      </c>
      <c r="O59" s="181" t="s">
        <v>147</v>
      </c>
      <c r="P59" s="177" t="s">
        <v>1371</v>
      </c>
      <c r="Q59" s="177" t="s">
        <v>1441</v>
      </c>
      <c r="R59" s="177" t="s">
        <v>1530</v>
      </c>
      <c r="S59" s="177" t="s">
        <v>1244</v>
      </c>
      <c r="T59" s="177" t="s">
        <v>1674</v>
      </c>
      <c r="U59" s="177" t="s">
        <v>1767</v>
      </c>
      <c r="V59" s="177" t="s">
        <v>3956</v>
      </c>
      <c r="W59" s="177" t="s">
        <v>1858</v>
      </c>
      <c r="X59" s="177" t="s">
        <v>1942</v>
      </c>
      <c r="Y59" s="177" t="s">
        <v>147</v>
      </c>
      <c r="Z59" s="177" t="s">
        <v>2041</v>
      </c>
      <c r="AA59" s="177" t="s">
        <v>2131</v>
      </c>
      <c r="AB59" s="177" t="s">
        <v>2224</v>
      </c>
      <c r="AC59" s="177" t="s">
        <v>2308</v>
      </c>
      <c r="AD59" s="177" t="s">
        <v>2395</v>
      </c>
      <c r="AE59" s="177" t="s">
        <v>2459</v>
      </c>
      <c r="AF59" s="177" t="s">
        <v>2535</v>
      </c>
      <c r="AG59" s="177" t="s">
        <v>2624</v>
      </c>
      <c r="AH59" s="177" t="s">
        <v>1244</v>
      </c>
      <c r="AI59" s="177" t="s">
        <v>2763</v>
      </c>
      <c r="AJ59" s="177" t="s">
        <v>2848</v>
      </c>
      <c r="AK59" s="177" t="s">
        <v>2929</v>
      </c>
      <c r="AL59" s="177" t="s">
        <v>2848</v>
      </c>
      <c r="AM59" s="177" t="s">
        <v>3071</v>
      </c>
      <c r="AN59" s="177" t="s">
        <v>3144</v>
      </c>
      <c r="AO59" s="177" t="s">
        <v>3224</v>
      </c>
      <c r="AP59" s="177" t="s">
        <v>3224</v>
      </c>
      <c r="AQ59" s="177" t="s">
        <v>3334</v>
      </c>
      <c r="AR59" s="177" t="s">
        <v>2535</v>
      </c>
      <c r="AS59" s="177" t="s">
        <v>3488</v>
      </c>
      <c r="AT59" s="177" t="s">
        <v>3577</v>
      </c>
      <c r="AU59" s="177" t="s">
        <v>3664</v>
      </c>
      <c r="AV59" s="177" t="s">
        <v>3744</v>
      </c>
      <c r="AW59" s="181" t="str">
        <f>IF('Custom Language and Timezone'!E65&lt;&gt;"",'Custom Language and Timezone'!E65,'Custom Language and Timezone'!C65)</f>
        <v>Group F Runner Up</v>
      </c>
    </row>
    <row r="60" spans="1:49" x14ac:dyDescent="0.2">
      <c r="A60" s="181">
        <v>59</v>
      </c>
      <c r="B60" s="181" t="s">
        <v>451</v>
      </c>
      <c r="C60" s="181" t="s">
        <v>547</v>
      </c>
      <c r="D60" s="181" t="s">
        <v>638</v>
      </c>
      <c r="E60" s="182" t="s">
        <v>730</v>
      </c>
      <c r="F60" s="182" t="s">
        <v>822</v>
      </c>
      <c r="G60" s="177" t="s">
        <v>3811</v>
      </c>
      <c r="H60" s="177" t="s">
        <v>907</v>
      </c>
      <c r="I60" s="177" t="s">
        <v>999</v>
      </c>
      <c r="J60" s="177" t="s">
        <v>1082</v>
      </c>
      <c r="K60" s="177" t="s">
        <v>3873</v>
      </c>
      <c r="L60" s="177" t="s">
        <v>1172</v>
      </c>
      <c r="M60" s="177" t="s">
        <v>1245</v>
      </c>
      <c r="N60" s="177" t="s">
        <v>1294</v>
      </c>
      <c r="O60" s="181" t="s">
        <v>451</v>
      </c>
      <c r="P60" s="177" t="s">
        <v>1372</v>
      </c>
      <c r="Q60" s="177" t="s">
        <v>1442</v>
      </c>
      <c r="R60" s="177" t="s">
        <v>1531</v>
      </c>
      <c r="S60" s="177" t="s">
        <v>1588</v>
      </c>
      <c r="T60" s="177" t="s">
        <v>1675</v>
      </c>
      <c r="U60" s="177" t="s">
        <v>1768</v>
      </c>
      <c r="V60" s="177" t="s">
        <v>3957</v>
      </c>
      <c r="W60" s="177" t="s">
        <v>1859</v>
      </c>
      <c r="X60" s="177" t="s">
        <v>1943</v>
      </c>
      <c r="Y60" s="177" t="s">
        <v>451</v>
      </c>
      <c r="Z60" s="177" t="s">
        <v>2042</v>
      </c>
      <c r="AA60" s="177" t="s">
        <v>2132</v>
      </c>
      <c r="AB60" s="177" t="s">
        <v>2225</v>
      </c>
      <c r="AC60" s="177" t="s">
        <v>2309</v>
      </c>
      <c r="AD60" s="177" t="s">
        <v>2396</v>
      </c>
      <c r="AE60" s="177" t="s">
        <v>2460</v>
      </c>
      <c r="AF60" s="177" t="s">
        <v>2536</v>
      </c>
      <c r="AG60" s="177" t="s">
        <v>2625</v>
      </c>
      <c r="AH60" s="177" t="s">
        <v>2680</v>
      </c>
      <c r="AI60" s="177" t="s">
        <v>2764</v>
      </c>
      <c r="AJ60" s="177" t="s">
        <v>2849</v>
      </c>
      <c r="AK60" s="177" t="s">
        <v>2930</v>
      </c>
      <c r="AL60" s="177" t="s">
        <v>3001</v>
      </c>
      <c r="AM60" s="177" t="s">
        <v>3072</v>
      </c>
      <c r="AN60" s="177" t="s">
        <v>3145</v>
      </c>
      <c r="AO60" s="177" t="s">
        <v>3225</v>
      </c>
      <c r="AP60" s="177" t="s">
        <v>3280</v>
      </c>
      <c r="AQ60" s="177" t="s">
        <v>3335</v>
      </c>
      <c r="AR60" s="177" t="s">
        <v>3403</v>
      </c>
      <c r="AS60" s="177" t="s">
        <v>3489</v>
      </c>
      <c r="AT60" s="177" t="s">
        <v>3578</v>
      </c>
      <c r="AU60" s="177" t="s">
        <v>3665</v>
      </c>
      <c r="AV60" s="177" t="s">
        <v>451</v>
      </c>
      <c r="AW60" s="181" t="str">
        <f>IF('Custom Language and Timezone'!E66&lt;&gt;"",'Custom Language and Timezone'!E66,'Custom Language and Timezone'!C66)</f>
        <v>Match 37 Winner</v>
      </c>
    </row>
    <row r="61" spans="1:49" x14ac:dyDescent="0.2">
      <c r="A61" s="181">
        <v>60</v>
      </c>
      <c r="B61" s="181" t="s">
        <v>452</v>
      </c>
      <c r="C61" s="181" t="s">
        <v>548</v>
      </c>
      <c r="D61" s="181" t="s">
        <v>639</v>
      </c>
      <c r="E61" s="182" t="s">
        <v>731</v>
      </c>
      <c r="F61" s="182" t="s">
        <v>823</v>
      </c>
      <c r="G61" s="177" t="s">
        <v>3812</v>
      </c>
      <c r="H61" s="177" t="s">
        <v>908</v>
      </c>
      <c r="I61" s="177" t="s">
        <v>1000</v>
      </c>
      <c r="J61" s="177" t="s">
        <v>1083</v>
      </c>
      <c r="K61" s="177" t="s">
        <v>3874</v>
      </c>
      <c r="L61" s="177" t="s">
        <v>1173</v>
      </c>
      <c r="M61" s="177" t="s">
        <v>1246</v>
      </c>
      <c r="N61" s="177" t="s">
        <v>1295</v>
      </c>
      <c r="O61" s="181" t="s">
        <v>452</v>
      </c>
      <c r="P61" s="177" t="s">
        <v>1373</v>
      </c>
      <c r="Q61" s="177" t="s">
        <v>1443</v>
      </c>
      <c r="R61" s="177" t="s">
        <v>1532</v>
      </c>
      <c r="S61" s="177" t="s">
        <v>1589</v>
      </c>
      <c r="T61" s="177" t="s">
        <v>1676</v>
      </c>
      <c r="U61" s="177" t="s">
        <v>1769</v>
      </c>
      <c r="V61" s="177" t="s">
        <v>3958</v>
      </c>
      <c r="W61" s="177" t="s">
        <v>1860</v>
      </c>
      <c r="X61" s="177" t="s">
        <v>1944</v>
      </c>
      <c r="Y61" s="177" t="s">
        <v>452</v>
      </c>
      <c r="Z61" s="177" t="s">
        <v>2043</v>
      </c>
      <c r="AA61" s="177" t="s">
        <v>2133</v>
      </c>
      <c r="AB61" s="177" t="s">
        <v>2226</v>
      </c>
      <c r="AC61" s="177" t="s">
        <v>2310</v>
      </c>
      <c r="AD61" s="177" t="s">
        <v>2397</v>
      </c>
      <c r="AE61" s="177" t="s">
        <v>2461</v>
      </c>
      <c r="AF61" s="177" t="s">
        <v>2537</v>
      </c>
      <c r="AG61" s="177" t="s">
        <v>2626</v>
      </c>
      <c r="AH61" s="177" t="s">
        <v>2681</v>
      </c>
      <c r="AI61" s="177" t="s">
        <v>2765</v>
      </c>
      <c r="AJ61" s="177" t="s">
        <v>2850</v>
      </c>
      <c r="AK61" s="177" t="s">
        <v>2931</v>
      </c>
      <c r="AL61" s="177" t="s">
        <v>3002</v>
      </c>
      <c r="AM61" s="177" t="s">
        <v>3073</v>
      </c>
      <c r="AN61" s="177" t="s">
        <v>3146</v>
      </c>
      <c r="AO61" s="177" t="s">
        <v>3226</v>
      </c>
      <c r="AP61" s="177" t="s">
        <v>3281</v>
      </c>
      <c r="AQ61" s="177" t="s">
        <v>3336</v>
      </c>
      <c r="AR61" s="177" t="s">
        <v>3404</v>
      </c>
      <c r="AS61" s="177" t="s">
        <v>3490</v>
      </c>
      <c r="AT61" s="177" t="s">
        <v>3579</v>
      </c>
      <c r="AU61" s="177" t="s">
        <v>3666</v>
      </c>
      <c r="AV61" s="177" t="s">
        <v>452</v>
      </c>
      <c r="AW61" s="181" t="str">
        <f>IF('Custom Language and Timezone'!E67&lt;&gt;"",'Custom Language and Timezone'!E67,'Custom Language and Timezone'!C67)</f>
        <v>Match 38 Winner</v>
      </c>
    </row>
    <row r="62" spans="1:49" x14ac:dyDescent="0.2">
      <c r="A62" s="181">
        <v>61</v>
      </c>
      <c r="B62" s="181" t="s">
        <v>453</v>
      </c>
      <c r="C62" s="181" t="s">
        <v>549</v>
      </c>
      <c r="D62" s="181" t="s">
        <v>640</v>
      </c>
      <c r="E62" s="182" t="s">
        <v>732</v>
      </c>
      <c r="F62" s="182" t="s">
        <v>824</v>
      </c>
      <c r="G62" s="177" t="s">
        <v>3813</v>
      </c>
      <c r="H62" s="177" t="s">
        <v>909</v>
      </c>
      <c r="I62" s="177" t="s">
        <v>1001</v>
      </c>
      <c r="J62" s="177" t="s">
        <v>1084</v>
      </c>
      <c r="K62" s="177" t="s">
        <v>3875</v>
      </c>
      <c r="L62" s="177" t="s">
        <v>1174</v>
      </c>
      <c r="M62" s="177" t="s">
        <v>1247</v>
      </c>
      <c r="N62" s="177" t="s">
        <v>1296</v>
      </c>
      <c r="O62" s="181" t="s">
        <v>453</v>
      </c>
      <c r="P62" s="177" t="s">
        <v>1374</v>
      </c>
      <c r="Q62" s="177" t="s">
        <v>1444</v>
      </c>
      <c r="R62" s="177" t="s">
        <v>1533</v>
      </c>
      <c r="S62" s="177" t="s">
        <v>1590</v>
      </c>
      <c r="T62" s="177" t="s">
        <v>1677</v>
      </c>
      <c r="U62" s="177" t="s">
        <v>1770</v>
      </c>
      <c r="V62" s="177" t="s">
        <v>3959</v>
      </c>
      <c r="W62" s="177" t="s">
        <v>1861</v>
      </c>
      <c r="X62" s="177" t="s">
        <v>1945</v>
      </c>
      <c r="Y62" s="177" t="s">
        <v>453</v>
      </c>
      <c r="Z62" s="177" t="s">
        <v>2044</v>
      </c>
      <c r="AA62" s="177" t="s">
        <v>2134</v>
      </c>
      <c r="AB62" s="177" t="s">
        <v>2227</v>
      </c>
      <c r="AC62" s="177" t="s">
        <v>2311</v>
      </c>
      <c r="AD62" s="177" t="s">
        <v>2398</v>
      </c>
      <c r="AE62" s="177" t="s">
        <v>2462</v>
      </c>
      <c r="AF62" s="177" t="s">
        <v>2538</v>
      </c>
      <c r="AG62" s="177" t="s">
        <v>2627</v>
      </c>
      <c r="AH62" s="177" t="s">
        <v>2682</v>
      </c>
      <c r="AI62" s="177" t="s">
        <v>2766</v>
      </c>
      <c r="AJ62" s="177" t="s">
        <v>2851</v>
      </c>
      <c r="AK62" s="177" t="s">
        <v>2932</v>
      </c>
      <c r="AL62" s="177" t="s">
        <v>3003</v>
      </c>
      <c r="AM62" s="177" t="s">
        <v>3074</v>
      </c>
      <c r="AN62" s="177" t="s">
        <v>3147</v>
      </c>
      <c r="AO62" s="177" t="s">
        <v>3227</v>
      </c>
      <c r="AP62" s="177" t="s">
        <v>3282</v>
      </c>
      <c r="AQ62" s="177" t="s">
        <v>3337</v>
      </c>
      <c r="AR62" s="177" t="s">
        <v>3405</v>
      </c>
      <c r="AS62" s="177" t="s">
        <v>3491</v>
      </c>
      <c r="AT62" s="177" t="s">
        <v>3580</v>
      </c>
      <c r="AU62" s="177" t="s">
        <v>3667</v>
      </c>
      <c r="AV62" s="177" t="s">
        <v>453</v>
      </c>
      <c r="AW62" s="181" t="str">
        <f>IF('Custom Language and Timezone'!E68&lt;&gt;"",'Custom Language and Timezone'!E68,'Custom Language and Timezone'!C68)</f>
        <v>Match 39 Winner</v>
      </c>
    </row>
    <row r="63" spans="1:49" x14ac:dyDescent="0.2">
      <c r="A63" s="181">
        <v>62</v>
      </c>
      <c r="B63" s="181" t="s">
        <v>454</v>
      </c>
      <c r="C63" s="181" t="s">
        <v>550</v>
      </c>
      <c r="D63" s="181" t="s">
        <v>641</v>
      </c>
      <c r="E63" s="182" t="s">
        <v>733</v>
      </c>
      <c r="F63" s="182" t="s">
        <v>825</v>
      </c>
      <c r="G63" s="177" t="s">
        <v>3814</v>
      </c>
      <c r="H63" s="177" t="s">
        <v>910</v>
      </c>
      <c r="I63" s="177" t="s">
        <v>1002</v>
      </c>
      <c r="J63" s="177" t="s">
        <v>1085</v>
      </c>
      <c r="K63" s="177" t="s">
        <v>3876</v>
      </c>
      <c r="L63" s="177" t="s">
        <v>1175</v>
      </c>
      <c r="M63" s="177" t="s">
        <v>1248</v>
      </c>
      <c r="N63" s="177" t="s">
        <v>1297</v>
      </c>
      <c r="O63" s="181" t="s">
        <v>454</v>
      </c>
      <c r="P63" s="177" t="s">
        <v>1375</v>
      </c>
      <c r="Q63" s="177" t="s">
        <v>1445</v>
      </c>
      <c r="R63" s="177" t="s">
        <v>1534</v>
      </c>
      <c r="S63" s="177" t="s">
        <v>1591</v>
      </c>
      <c r="T63" s="177" t="s">
        <v>1678</v>
      </c>
      <c r="U63" s="177" t="s">
        <v>1771</v>
      </c>
      <c r="V63" s="177" t="s">
        <v>3960</v>
      </c>
      <c r="W63" s="177" t="s">
        <v>1862</v>
      </c>
      <c r="X63" s="177" t="s">
        <v>1946</v>
      </c>
      <c r="Y63" s="177" t="s">
        <v>454</v>
      </c>
      <c r="Z63" s="177" t="s">
        <v>2045</v>
      </c>
      <c r="AA63" s="177" t="s">
        <v>2135</v>
      </c>
      <c r="AB63" s="177" t="s">
        <v>2228</v>
      </c>
      <c r="AC63" s="177" t="s">
        <v>2312</v>
      </c>
      <c r="AD63" s="177" t="s">
        <v>2399</v>
      </c>
      <c r="AE63" s="177" t="s">
        <v>2463</v>
      </c>
      <c r="AF63" s="177" t="s">
        <v>2539</v>
      </c>
      <c r="AG63" s="177" t="s">
        <v>2628</v>
      </c>
      <c r="AH63" s="177" t="s">
        <v>2683</v>
      </c>
      <c r="AI63" s="177" t="s">
        <v>2767</v>
      </c>
      <c r="AJ63" s="177" t="s">
        <v>2852</v>
      </c>
      <c r="AK63" s="177" t="s">
        <v>2933</v>
      </c>
      <c r="AL63" s="177" t="s">
        <v>3004</v>
      </c>
      <c r="AM63" s="177" t="s">
        <v>3075</v>
      </c>
      <c r="AN63" s="177" t="s">
        <v>3148</v>
      </c>
      <c r="AO63" s="177" t="s">
        <v>3228</v>
      </c>
      <c r="AP63" s="177" t="s">
        <v>3283</v>
      </c>
      <c r="AQ63" s="177" t="s">
        <v>3338</v>
      </c>
      <c r="AR63" s="177" t="s">
        <v>3406</v>
      </c>
      <c r="AS63" s="177" t="s">
        <v>3492</v>
      </c>
      <c r="AT63" s="177" t="s">
        <v>3581</v>
      </c>
      <c r="AU63" s="177" t="s">
        <v>3668</v>
      </c>
      <c r="AV63" s="177" t="s">
        <v>454</v>
      </c>
      <c r="AW63" s="181" t="str">
        <f>IF('Custom Language and Timezone'!E69&lt;&gt;"",'Custom Language and Timezone'!E69,'Custom Language and Timezone'!C69)</f>
        <v>Match 40 Winner</v>
      </c>
    </row>
    <row r="64" spans="1:49" x14ac:dyDescent="0.2">
      <c r="A64" s="181">
        <v>63</v>
      </c>
      <c r="B64" s="181" t="s">
        <v>455</v>
      </c>
      <c r="C64" s="181" t="s">
        <v>551</v>
      </c>
      <c r="D64" s="181" t="s">
        <v>642</v>
      </c>
      <c r="E64" s="182" t="s">
        <v>734</v>
      </c>
      <c r="F64" s="182" t="s">
        <v>826</v>
      </c>
      <c r="G64" s="177" t="s">
        <v>3815</v>
      </c>
      <c r="H64" s="177" t="s">
        <v>911</v>
      </c>
      <c r="I64" s="177" t="s">
        <v>1003</v>
      </c>
      <c r="J64" s="177" t="s">
        <v>1086</v>
      </c>
      <c r="K64" s="177" t="s">
        <v>3877</v>
      </c>
      <c r="L64" s="177" t="s">
        <v>1176</v>
      </c>
      <c r="M64" s="177" t="s">
        <v>1249</v>
      </c>
      <c r="N64" s="177" t="s">
        <v>1298</v>
      </c>
      <c r="O64" s="181" t="s">
        <v>455</v>
      </c>
      <c r="P64" s="177" t="s">
        <v>1376</v>
      </c>
      <c r="Q64" s="177" t="s">
        <v>1446</v>
      </c>
      <c r="R64" s="177" t="s">
        <v>1535</v>
      </c>
      <c r="S64" s="177" t="s">
        <v>1592</v>
      </c>
      <c r="T64" s="177" t="s">
        <v>1679</v>
      </c>
      <c r="U64" s="177" t="s">
        <v>1772</v>
      </c>
      <c r="V64" s="177" t="s">
        <v>3961</v>
      </c>
      <c r="W64" s="177" t="s">
        <v>1863</v>
      </c>
      <c r="X64" s="177" t="s">
        <v>1947</v>
      </c>
      <c r="Y64" s="177" t="s">
        <v>455</v>
      </c>
      <c r="Z64" s="177" t="s">
        <v>2046</v>
      </c>
      <c r="AA64" s="177" t="s">
        <v>2136</v>
      </c>
      <c r="AB64" s="177" t="s">
        <v>2229</v>
      </c>
      <c r="AC64" s="177" t="s">
        <v>2313</v>
      </c>
      <c r="AD64" s="177" t="s">
        <v>2400</v>
      </c>
      <c r="AE64" s="177" t="s">
        <v>2464</v>
      </c>
      <c r="AF64" s="177" t="s">
        <v>2540</v>
      </c>
      <c r="AG64" s="177" t="s">
        <v>2629</v>
      </c>
      <c r="AH64" s="177" t="s">
        <v>2684</v>
      </c>
      <c r="AI64" s="177" t="s">
        <v>2768</v>
      </c>
      <c r="AJ64" s="177" t="s">
        <v>2853</v>
      </c>
      <c r="AK64" s="177" t="s">
        <v>2934</v>
      </c>
      <c r="AL64" s="177" t="s">
        <v>3005</v>
      </c>
      <c r="AM64" s="177" t="s">
        <v>3076</v>
      </c>
      <c r="AN64" s="177" t="s">
        <v>3149</v>
      </c>
      <c r="AO64" s="177" t="s">
        <v>3229</v>
      </c>
      <c r="AP64" s="177" t="s">
        <v>3284</v>
      </c>
      <c r="AQ64" s="177" t="s">
        <v>3339</v>
      </c>
      <c r="AR64" s="177" t="s">
        <v>3407</v>
      </c>
      <c r="AS64" s="177" t="s">
        <v>3493</v>
      </c>
      <c r="AT64" s="177" t="s">
        <v>3582</v>
      </c>
      <c r="AU64" s="177" t="s">
        <v>3669</v>
      </c>
      <c r="AV64" s="177" t="s">
        <v>455</v>
      </c>
      <c r="AW64" s="181" t="str">
        <f>IF('Custom Language and Timezone'!E70&lt;&gt;"",'Custom Language and Timezone'!E70,'Custom Language and Timezone'!C70)</f>
        <v>Match 41 Winner</v>
      </c>
    </row>
    <row r="65" spans="1:49" x14ac:dyDescent="0.2">
      <c r="A65" s="181">
        <v>64</v>
      </c>
      <c r="B65" s="181" t="s">
        <v>456</v>
      </c>
      <c r="C65" s="181" t="s">
        <v>552</v>
      </c>
      <c r="D65" s="181" t="s">
        <v>643</v>
      </c>
      <c r="E65" s="182" t="s">
        <v>735</v>
      </c>
      <c r="F65" s="182" t="s">
        <v>827</v>
      </c>
      <c r="G65" s="177" t="s">
        <v>3816</v>
      </c>
      <c r="H65" s="177" t="s">
        <v>912</v>
      </c>
      <c r="I65" s="177" t="s">
        <v>1004</v>
      </c>
      <c r="J65" s="177" t="s">
        <v>1087</v>
      </c>
      <c r="K65" s="177" t="s">
        <v>3878</v>
      </c>
      <c r="L65" s="177" t="s">
        <v>1177</v>
      </c>
      <c r="M65" s="177" t="s">
        <v>1250</v>
      </c>
      <c r="N65" s="177" t="s">
        <v>1299</v>
      </c>
      <c r="O65" s="181" t="s">
        <v>456</v>
      </c>
      <c r="P65" s="177" t="s">
        <v>1377</v>
      </c>
      <c r="Q65" s="177" t="s">
        <v>1447</v>
      </c>
      <c r="R65" s="177" t="s">
        <v>1536</v>
      </c>
      <c r="S65" s="177" t="s">
        <v>1593</v>
      </c>
      <c r="T65" s="177" t="s">
        <v>1680</v>
      </c>
      <c r="U65" s="177" t="s">
        <v>1773</v>
      </c>
      <c r="V65" s="177" t="s">
        <v>3962</v>
      </c>
      <c r="W65" s="177" t="s">
        <v>1864</v>
      </c>
      <c r="X65" s="177" t="s">
        <v>1948</v>
      </c>
      <c r="Y65" s="177" t="s">
        <v>456</v>
      </c>
      <c r="Z65" s="177" t="s">
        <v>2047</v>
      </c>
      <c r="AA65" s="177" t="s">
        <v>2137</v>
      </c>
      <c r="AB65" s="177" t="s">
        <v>2230</v>
      </c>
      <c r="AC65" s="177" t="s">
        <v>2314</v>
      </c>
      <c r="AD65" s="177" t="s">
        <v>2401</v>
      </c>
      <c r="AE65" s="177" t="s">
        <v>2465</v>
      </c>
      <c r="AF65" s="177" t="s">
        <v>2541</v>
      </c>
      <c r="AG65" s="177" t="s">
        <v>2630</v>
      </c>
      <c r="AH65" s="177" t="s">
        <v>2685</v>
      </c>
      <c r="AI65" s="177" t="s">
        <v>2769</v>
      </c>
      <c r="AJ65" s="177" t="s">
        <v>2854</v>
      </c>
      <c r="AK65" s="177" t="s">
        <v>2935</v>
      </c>
      <c r="AL65" s="177" t="s">
        <v>3006</v>
      </c>
      <c r="AM65" s="177" t="s">
        <v>3077</v>
      </c>
      <c r="AN65" s="177" t="s">
        <v>3150</v>
      </c>
      <c r="AO65" s="177" t="s">
        <v>3230</v>
      </c>
      <c r="AP65" s="177" t="s">
        <v>3285</v>
      </c>
      <c r="AQ65" s="177" t="s">
        <v>3340</v>
      </c>
      <c r="AR65" s="177" t="s">
        <v>3408</v>
      </c>
      <c r="AS65" s="177" t="s">
        <v>3494</v>
      </c>
      <c r="AT65" s="177" t="s">
        <v>3583</v>
      </c>
      <c r="AU65" s="177" t="s">
        <v>3670</v>
      </c>
      <c r="AV65" s="177" t="s">
        <v>456</v>
      </c>
      <c r="AW65" s="181" t="str">
        <f>IF('Custom Language and Timezone'!E71&lt;&gt;"",'Custom Language and Timezone'!E71,'Custom Language and Timezone'!C71)</f>
        <v>Match 42 Winner</v>
      </c>
    </row>
    <row r="66" spans="1:49" x14ac:dyDescent="0.2">
      <c r="A66" s="181">
        <v>65</v>
      </c>
      <c r="B66" s="181" t="s">
        <v>457</v>
      </c>
      <c r="C66" s="181" t="s">
        <v>553</v>
      </c>
      <c r="D66" s="181" t="s">
        <v>644</v>
      </c>
      <c r="E66" s="182" t="s">
        <v>736</v>
      </c>
      <c r="F66" s="182" t="s">
        <v>828</v>
      </c>
      <c r="G66" s="177" t="s">
        <v>3817</v>
      </c>
      <c r="H66" s="177" t="s">
        <v>913</v>
      </c>
      <c r="I66" s="177" t="s">
        <v>1005</v>
      </c>
      <c r="J66" s="177" t="s">
        <v>1088</v>
      </c>
      <c r="K66" s="177" t="s">
        <v>3879</v>
      </c>
      <c r="L66" s="177" t="s">
        <v>1178</v>
      </c>
      <c r="M66" s="177" t="s">
        <v>1251</v>
      </c>
      <c r="N66" s="177" t="s">
        <v>1300</v>
      </c>
      <c r="O66" s="181" t="s">
        <v>457</v>
      </c>
      <c r="P66" s="177" t="s">
        <v>1378</v>
      </c>
      <c r="Q66" s="177" t="s">
        <v>1448</v>
      </c>
      <c r="R66" s="177" t="s">
        <v>1537</v>
      </c>
      <c r="S66" s="177" t="s">
        <v>1594</v>
      </c>
      <c r="T66" s="177" t="s">
        <v>1681</v>
      </c>
      <c r="U66" s="177" t="s">
        <v>1774</v>
      </c>
      <c r="V66" s="177" t="s">
        <v>3963</v>
      </c>
      <c r="W66" s="177" t="s">
        <v>1865</v>
      </c>
      <c r="X66" s="177" t="s">
        <v>1949</v>
      </c>
      <c r="Y66" s="177" t="s">
        <v>457</v>
      </c>
      <c r="Z66" s="177" t="s">
        <v>2048</v>
      </c>
      <c r="AA66" s="177" t="s">
        <v>2138</v>
      </c>
      <c r="AB66" s="177" t="s">
        <v>2231</v>
      </c>
      <c r="AC66" s="177" t="s">
        <v>2315</v>
      </c>
      <c r="AD66" s="177" t="s">
        <v>2402</v>
      </c>
      <c r="AE66" s="177" t="s">
        <v>2466</v>
      </c>
      <c r="AF66" s="177" t="s">
        <v>2542</v>
      </c>
      <c r="AG66" s="177" t="s">
        <v>2631</v>
      </c>
      <c r="AH66" s="177" t="s">
        <v>2686</v>
      </c>
      <c r="AI66" s="177" t="s">
        <v>2770</v>
      </c>
      <c r="AJ66" s="177" t="s">
        <v>2855</v>
      </c>
      <c r="AK66" s="177" t="s">
        <v>2936</v>
      </c>
      <c r="AL66" s="177" t="s">
        <v>3007</v>
      </c>
      <c r="AM66" s="177" t="s">
        <v>3078</v>
      </c>
      <c r="AN66" s="177" t="s">
        <v>3151</v>
      </c>
      <c r="AO66" s="177" t="s">
        <v>3231</v>
      </c>
      <c r="AP66" s="177" t="s">
        <v>3286</v>
      </c>
      <c r="AQ66" s="177" t="s">
        <v>3341</v>
      </c>
      <c r="AR66" s="177" t="s">
        <v>3409</v>
      </c>
      <c r="AS66" s="177" t="s">
        <v>3495</v>
      </c>
      <c r="AT66" s="177" t="s">
        <v>3584</v>
      </c>
      <c r="AU66" s="177" t="s">
        <v>3671</v>
      </c>
      <c r="AV66" s="177" t="s">
        <v>457</v>
      </c>
      <c r="AW66" s="181" t="str">
        <f>IF('Custom Language and Timezone'!E72&lt;&gt;"",'Custom Language and Timezone'!E72,'Custom Language and Timezone'!C72)</f>
        <v>Match 43 Winner</v>
      </c>
    </row>
    <row r="67" spans="1:49" x14ac:dyDescent="0.2">
      <c r="A67" s="181">
        <v>66</v>
      </c>
      <c r="B67" s="181" t="s">
        <v>458</v>
      </c>
      <c r="C67" s="181" t="s">
        <v>554</v>
      </c>
      <c r="D67" s="181" t="s">
        <v>645</v>
      </c>
      <c r="E67" s="182" t="s">
        <v>737</v>
      </c>
      <c r="F67" s="182" t="s">
        <v>829</v>
      </c>
      <c r="G67" s="177" t="s">
        <v>3818</v>
      </c>
      <c r="H67" s="177" t="s">
        <v>914</v>
      </c>
      <c r="I67" s="177" t="s">
        <v>1006</v>
      </c>
      <c r="J67" s="177" t="s">
        <v>1089</v>
      </c>
      <c r="K67" s="177" t="s">
        <v>3880</v>
      </c>
      <c r="L67" s="177" t="s">
        <v>1179</v>
      </c>
      <c r="M67" s="177" t="s">
        <v>1252</v>
      </c>
      <c r="N67" s="177" t="s">
        <v>1301</v>
      </c>
      <c r="O67" s="181" t="s">
        <v>458</v>
      </c>
      <c r="P67" s="177" t="s">
        <v>1379</v>
      </c>
      <c r="Q67" s="177" t="s">
        <v>1449</v>
      </c>
      <c r="R67" s="177" t="s">
        <v>1538</v>
      </c>
      <c r="S67" s="177" t="s">
        <v>1595</v>
      </c>
      <c r="T67" s="177" t="s">
        <v>1682</v>
      </c>
      <c r="U67" s="177" t="s">
        <v>1775</v>
      </c>
      <c r="V67" s="177" t="s">
        <v>3964</v>
      </c>
      <c r="W67" s="177" t="s">
        <v>1866</v>
      </c>
      <c r="X67" s="177" t="s">
        <v>1950</v>
      </c>
      <c r="Y67" s="177" t="s">
        <v>458</v>
      </c>
      <c r="Z67" s="177" t="s">
        <v>2049</v>
      </c>
      <c r="AA67" s="177" t="s">
        <v>2139</v>
      </c>
      <c r="AB67" s="177" t="s">
        <v>2232</v>
      </c>
      <c r="AC67" s="177" t="s">
        <v>2316</v>
      </c>
      <c r="AD67" s="177" t="s">
        <v>2403</v>
      </c>
      <c r="AE67" s="177" t="s">
        <v>2467</v>
      </c>
      <c r="AF67" s="177" t="s">
        <v>2543</v>
      </c>
      <c r="AG67" s="177" t="s">
        <v>2632</v>
      </c>
      <c r="AH67" s="177" t="s">
        <v>2687</v>
      </c>
      <c r="AI67" s="177" t="s">
        <v>2771</v>
      </c>
      <c r="AJ67" s="177" t="s">
        <v>2856</v>
      </c>
      <c r="AK67" s="177" t="s">
        <v>2937</v>
      </c>
      <c r="AL67" s="177" t="s">
        <v>3008</v>
      </c>
      <c r="AM67" s="177" t="s">
        <v>3079</v>
      </c>
      <c r="AN67" s="177" t="s">
        <v>3152</v>
      </c>
      <c r="AO67" s="177" t="s">
        <v>3232</v>
      </c>
      <c r="AP67" s="177" t="s">
        <v>3287</v>
      </c>
      <c r="AQ67" s="177" t="s">
        <v>3342</v>
      </c>
      <c r="AR67" s="177" t="s">
        <v>3410</v>
      </c>
      <c r="AS67" s="177" t="s">
        <v>3496</v>
      </c>
      <c r="AT67" s="177" t="s">
        <v>3585</v>
      </c>
      <c r="AU67" s="177" t="s">
        <v>3672</v>
      </c>
      <c r="AV67" s="177" t="s">
        <v>458</v>
      </c>
      <c r="AW67" s="181" t="str">
        <f>IF('Custom Language and Timezone'!E73&lt;&gt;"",'Custom Language and Timezone'!E73,'Custom Language and Timezone'!C73)</f>
        <v>Match 44 Winner</v>
      </c>
    </row>
    <row r="68" spans="1:49" x14ac:dyDescent="0.2">
      <c r="A68" s="181">
        <v>67</v>
      </c>
      <c r="B68" s="181" t="s">
        <v>459</v>
      </c>
      <c r="C68" s="181" t="s">
        <v>555</v>
      </c>
      <c r="D68" s="181" t="s">
        <v>646</v>
      </c>
      <c r="E68" s="182" t="s">
        <v>738</v>
      </c>
      <c r="F68" s="182" t="s">
        <v>830</v>
      </c>
      <c r="G68" s="177" t="s">
        <v>3819</v>
      </c>
      <c r="H68" s="177" t="s">
        <v>915</v>
      </c>
      <c r="I68" s="177" t="s">
        <v>1007</v>
      </c>
      <c r="J68" s="177" t="s">
        <v>1090</v>
      </c>
      <c r="K68" s="177" t="s">
        <v>3881</v>
      </c>
      <c r="L68" s="177" t="s">
        <v>1180</v>
      </c>
      <c r="M68" s="177" t="s">
        <v>1253</v>
      </c>
      <c r="N68" s="177" t="s">
        <v>1320</v>
      </c>
      <c r="O68" s="181" t="s">
        <v>459</v>
      </c>
      <c r="P68" s="177" t="s">
        <v>1380</v>
      </c>
      <c r="Q68" s="177" t="s">
        <v>1450</v>
      </c>
      <c r="R68" s="177" t="s">
        <v>1539</v>
      </c>
      <c r="S68" s="177" t="s">
        <v>1596</v>
      </c>
      <c r="T68" s="177" t="s">
        <v>1683</v>
      </c>
      <c r="U68" s="177" t="s">
        <v>1776</v>
      </c>
      <c r="V68" s="177" t="s">
        <v>3965</v>
      </c>
      <c r="W68" s="177" t="s">
        <v>1867</v>
      </c>
      <c r="X68" s="177" t="s">
        <v>1951</v>
      </c>
      <c r="Y68" s="177" t="s">
        <v>459</v>
      </c>
      <c r="Z68" s="177" t="s">
        <v>2050</v>
      </c>
      <c r="AA68" s="177" t="s">
        <v>2140</v>
      </c>
      <c r="AB68" s="177" t="s">
        <v>2233</v>
      </c>
      <c r="AC68" s="177" t="s">
        <v>2317</v>
      </c>
      <c r="AD68" s="177" t="s">
        <v>2404</v>
      </c>
      <c r="AE68" s="177" t="s">
        <v>2468</v>
      </c>
      <c r="AF68" s="177" t="s">
        <v>2544</v>
      </c>
      <c r="AG68" s="177" t="s">
        <v>2633</v>
      </c>
      <c r="AH68" s="177" t="s">
        <v>2688</v>
      </c>
      <c r="AI68" s="177" t="s">
        <v>2772</v>
      </c>
      <c r="AJ68" s="177" t="s">
        <v>2857</v>
      </c>
      <c r="AK68" s="177" t="s">
        <v>2938</v>
      </c>
      <c r="AL68" s="177" t="s">
        <v>3009</v>
      </c>
      <c r="AM68" s="177" t="s">
        <v>3080</v>
      </c>
      <c r="AN68" s="177" t="s">
        <v>3153</v>
      </c>
      <c r="AO68" s="177" t="s">
        <v>3233</v>
      </c>
      <c r="AP68" s="177" t="s">
        <v>3288</v>
      </c>
      <c r="AQ68" s="177" t="s">
        <v>3343</v>
      </c>
      <c r="AR68" s="177" t="s">
        <v>3411</v>
      </c>
      <c r="AS68" s="177" t="s">
        <v>3497</v>
      </c>
      <c r="AT68" s="177" t="s">
        <v>3586</v>
      </c>
      <c r="AU68" s="177" t="s">
        <v>3673</v>
      </c>
      <c r="AV68" s="177" t="s">
        <v>459</v>
      </c>
      <c r="AW68" s="181" t="str">
        <f>IF('Custom Language and Timezone'!E74&lt;&gt;"",'Custom Language and Timezone'!E74,'Custom Language and Timezone'!C74)</f>
        <v>Match 45 Winner</v>
      </c>
    </row>
    <row r="69" spans="1:49" x14ac:dyDescent="0.2">
      <c r="A69" s="181">
        <v>68</v>
      </c>
      <c r="B69" s="181" t="s">
        <v>460</v>
      </c>
      <c r="C69" s="181" t="s">
        <v>556</v>
      </c>
      <c r="D69" s="181" t="s">
        <v>647</v>
      </c>
      <c r="E69" s="182" t="s">
        <v>739</v>
      </c>
      <c r="F69" s="182" t="s">
        <v>831</v>
      </c>
      <c r="G69" s="177" t="s">
        <v>3820</v>
      </c>
      <c r="H69" s="177" t="s">
        <v>916</v>
      </c>
      <c r="I69" s="177" t="s">
        <v>1008</v>
      </c>
      <c r="J69" s="177" t="s">
        <v>1091</v>
      </c>
      <c r="K69" s="177" t="s">
        <v>3882</v>
      </c>
      <c r="L69" s="177" t="s">
        <v>1181</v>
      </c>
      <c r="M69" s="177" t="s">
        <v>1254</v>
      </c>
      <c r="N69" s="177" t="s">
        <v>1302</v>
      </c>
      <c r="O69" s="181" t="s">
        <v>460</v>
      </c>
      <c r="P69" s="177" t="s">
        <v>1381</v>
      </c>
      <c r="Q69" s="177" t="s">
        <v>1451</v>
      </c>
      <c r="R69" s="177" t="s">
        <v>1540</v>
      </c>
      <c r="S69" s="177" t="s">
        <v>1597</v>
      </c>
      <c r="T69" s="177" t="s">
        <v>1684</v>
      </c>
      <c r="U69" s="177" t="s">
        <v>1777</v>
      </c>
      <c r="V69" s="177" t="s">
        <v>3966</v>
      </c>
      <c r="W69" s="177" t="s">
        <v>1868</v>
      </c>
      <c r="X69" s="177" t="s">
        <v>1952</v>
      </c>
      <c r="Y69" s="177" t="s">
        <v>460</v>
      </c>
      <c r="Z69" s="177" t="s">
        <v>2051</v>
      </c>
      <c r="AA69" s="177" t="s">
        <v>2141</v>
      </c>
      <c r="AB69" s="177" t="s">
        <v>2234</v>
      </c>
      <c r="AC69" s="177" t="s">
        <v>2318</v>
      </c>
      <c r="AD69" s="177" t="s">
        <v>2405</v>
      </c>
      <c r="AE69" s="177" t="s">
        <v>2469</v>
      </c>
      <c r="AF69" s="177" t="s">
        <v>2545</v>
      </c>
      <c r="AG69" s="177" t="s">
        <v>2634</v>
      </c>
      <c r="AH69" s="177" t="s">
        <v>2689</v>
      </c>
      <c r="AI69" s="177" t="s">
        <v>2773</v>
      </c>
      <c r="AJ69" s="177" t="s">
        <v>2858</v>
      </c>
      <c r="AK69" s="177" t="s">
        <v>2939</v>
      </c>
      <c r="AL69" s="177" t="s">
        <v>3010</v>
      </c>
      <c r="AM69" s="177" t="s">
        <v>3081</v>
      </c>
      <c r="AN69" s="177" t="s">
        <v>3154</v>
      </c>
      <c r="AO69" s="177" t="s">
        <v>3234</v>
      </c>
      <c r="AP69" s="177" t="s">
        <v>3289</v>
      </c>
      <c r="AQ69" s="177" t="s">
        <v>3344</v>
      </c>
      <c r="AR69" s="177" t="s">
        <v>3412</v>
      </c>
      <c r="AS69" s="177" t="s">
        <v>3498</v>
      </c>
      <c r="AT69" s="177" t="s">
        <v>3587</v>
      </c>
      <c r="AU69" s="177" t="s">
        <v>3674</v>
      </c>
      <c r="AV69" s="177" t="s">
        <v>460</v>
      </c>
      <c r="AW69" s="181" t="str">
        <f>IF('Custom Language and Timezone'!E75&lt;&gt;"",'Custom Language and Timezone'!E75,'Custom Language and Timezone'!C75)</f>
        <v>Match 46 Winner</v>
      </c>
    </row>
    <row r="70" spans="1:49" x14ac:dyDescent="0.2">
      <c r="A70" s="181">
        <v>69</v>
      </c>
      <c r="B70" s="181" t="s">
        <v>461</v>
      </c>
      <c r="C70" s="181" t="s">
        <v>557</v>
      </c>
      <c r="D70" s="181" t="s">
        <v>648</v>
      </c>
      <c r="E70" s="182" t="s">
        <v>740</v>
      </c>
      <c r="F70" s="182" t="s">
        <v>832</v>
      </c>
      <c r="G70" s="177" t="s">
        <v>3821</v>
      </c>
      <c r="H70" s="177" t="s">
        <v>917</v>
      </c>
      <c r="I70" s="177" t="s">
        <v>1009</v>
      </c>
      <c r="J70" s="177" t="s">
        <v>1092</v>
      </c>
      <c r="K70" s="177" t="s">
        <v>3883</v>
      </c>
      <c r="L70" s="177" t="s">
        <v>1182</v>
      </c>
      <c r="M70" s="177" t="s">
        <v>1255</v>
      </c>
      <c r="N70" s="177" t="s">
        <v>1303</v>
      </c>
      <c r="O70" s="181" t="s">
        <v>461</v>
      </c>
      <c r="P70" s="177" t="s">
        <v>1382</v>
      </c>
      <c r="Q70" s="177" t="s">
        <v>1452</v>
      </c>
      <c r="R70" s="177" t="s">
        <v>1541</v>
      </c>
      <c r="S70" s="177" t="s">
        <v>1598</v>
      </c>
      <c r="T70" s="177" t="s">
        <v>1685</v>
      </c>
      <c r="U70" s="177" t="s">
        <v>1778</v>
      </c>
      <c r="V70" s="177" t="s">
        <v>3967</v>
      </c>
      <c r="W70" s="177" t="s">
        <v>1869</v>
      </c>
      <c r="X70" s="177" t="s">
        <v>1953</v>
      </c>
      <c r="Y70" s="177" t="s">
        <v>461</v>
      </c>
      <c r="Z70" s="177" t="s">
        <v>2052</v>
      </c>
      <c r="AA70" s="177" t="s">
        <v>2142</v>
      </c>
      <c r="AB70" s="177" t="s">
        <v>2235</v>
      </c>
      <c r="AC70" s="177" t="s">
        <v>2319</v>
      </c>
      <c r="AD70" s="177" t="s">
        <v>2406</v>
      </c>
      <c r="AE70" s="177" t="s">
        <v>2470</v>
      </c>
      <c r="AF70" s="177" t="s">
        <v>2546</v>
      </c>
      <c r="AG70" s="177" t="s">
        <v>2635</v>
      </c>
      <c r="AH70" s="177" t="s">
        <v>2690</v>
      </c>
      <c r="AI70" s="177" t="s">
        <v>2774</v>
      </c>
      <c r="AJ70" s="177" t="s">
        <v>2859</v>
      </c>
      <c r="AK70" s="177" t="s">
        <v>2940</v>
      </c>
      <c r="AL70" s="177" t="s">
        <v>3011</v>
      </c>
      <c r="AM70" s="177" t="s">
        <v>3082</v>
      </c>
      <c r="AN70" s="177" t="s">
        <v>3155</v>
      </c>
      <c r="AO70" s="177" t="s">
        <v>3235</v>
      </c>
      <c r="AP70" s="177" t="s">
        <v>3290</v>
      </c>
      <c r="AQ70" s="177" t="s">
        <v>3345</v>
      </c>
      <c r="AR70" s="177" t="s">
        <v>3413</v>
      </c>
      <c r="AS70" s="177" t="s">
        <v>3499</v>
      </c>
      <c r="AT70" s="177" t="s">
        <v>3588</v>
      </c>
      <c r="AU70" s="177" t="s">
        <v>3675</v>
      </c>
      <c r="AV70" s="177" t="s">
        <v>461</v>
      </c>
      <c r="AW70" s="181" t="str">
        <f>IF('Custom Language and Timezone'!E76&lt;&gt;"",'Custom Language and Timezone'!E76,'Custom Language and Timezone'!C76)</f>
        <v>Match 47 Winner</v>
      </c>
    </row>
    <row r="71" spans="1:49" x14ac:dyDescent="0.2">
      <c r="A71" s="181">
        <v>70</v>
      </c>
      <c r="B71" s="181" t="s">
        <v>462</v>
      </c>
      <c r="C71" s="181" t="s">
        <v>558</v>
      </c>
      <c r="D71" s="181" t="s">
        <v>649</v>
      </c>
      <c r="E71" s="182" t="s">
        <v>741</v>
      </c>
      <c r="F71" s="182" t="s">
        <v>833</v>
      </c>
      <c r="G71" s="177" t="s">
        <v>3822</v>
      </c>
      <c r="H71" s="177" t="s">
        <v>918</v>
      </c>
      <c r="I71" s="177" t="s">
        <v>1010</v>
      </c>
      <c r="J71" s="177" t="s">
        <v>1093</v>
      </c>
      <c r="K71" s="177" t="s">
        <v>3884</v>
      </c>
      <c r="L71" s="177" t="s">
        <v>1183</v>
      </c>
      <c r="M71" s="177" t="s">
        <v>1256</v>
      </c>
      <c r="N71" s="177" t="s">
        <v>1304</v>
      </c>
      <c r="O71" s="181" t="s">
        <v>462</v>
      </c>
      <c r="P71" s="177" t="s">
        <v>1383</v>
      </c>
      <c r="Q71" s="177" t="s">
        <v>1453</v>
      </c>
      <c r="R71" s="177" t="s">
        <v>1542</v>
      </c>
      <c r="S71" s="177" t="s">
        <v>1599</v>
      </c>
      <c r="T71" s="177" t="s">
        <v>1686</v>
      </c>
      <c r="U71" s="177" t="s">
        <v>1779</v>
      </c>
      <c r="V71" s="177" t="s">
        <v>3968</v>
      </c>
      <c r="W71" s="177" t="s">
        <v>1870</v>
      </c>
      <c r="X71" s="177" t="s">
        <v>1954</v>
      </c>
      <c r="Y71" s="177" t="s">
        <v>462</v>
      </c>
      <c r="Z71" s="177" t="s">
        <v>2053</v>
      </c>
      <c r="AA71" s="177" t="s">
        <v>2143</v>
      </c>
      <c r="AB71" s="177" t="s">
        <v>2236</v>
      </c>
      <c r="AC71" s="177" t="s">
        <v>2320</v>
      </c>
      <c r="AD71" s="177" t="s">
        <v>2407</v>
      </c>
      <c r="AE71" s="177" t="s">
        <v>2471</v>
      </c>
      <c r="AF71" s="177" t="s">
        <v>2547</v>
      </c>
      <c r="AG71" s="177" t="s">
        <v>2636</v>
      </c>
      <c r="AH71" s="177" t="s">
        <v>2691</v>
      </c>
      <c r="AI71" s="177" t="s">
        <v>2775</v>
      </c>
      <c r="AJ71" s="177" t="s">
        <v>2860</v>
      </c>
      <c r="AK71" s="177" t="s">
        <v>2941</v>
      </c>
      <c r="AL71" s="177" t="s">
        <v>3012</v>
      </c>
      <c r="AM71" s="177" t="s">
        <v>3083</v>
      </c>
      <c r="AN71" s="177" t="s">
        <v>3156</v>
      </c>
      <c r="AO71" s="177" t="s">
        <v>3236</v>
      </c>
      <c r="AP71" s="177" t="s">
        <v>3291</v>
      </c>
      <c r="AQ71" s="177" t="s">
        <v>3346</v>
      </c>
      <c r="AR71" s="177" t="s">
        <v>3414</v>
      </c>
      <c r="AS71" s="177" t="s">
        <v>3500</v>
      </c>
      <c r="AT71" s="177" t="s">
        <v>3589</v>
      </c>
      <c r="AU71" s="177" t="s">
        <v>3676</v>
      </c>
      <c r="AV71" s="177" t="s">
        <v>462</v>
      </c>
      <c r="AW71" s="181" t="str">
        <f>IF('Custom Language and Timezone'!E77&lt;&gt;"",'Custom Language and Timezone'!E77,'Custom Language and Timezone'!C77)</f>
        <v>Match 48 Winner</v>
      </c>
    </row>
    <row r="72" spans="1:49" x14ac:dyDescent="0.2">
      <c r="A72" s="181">
        <v>71</v>
      </c>
      <c r="B72" s="181" t="s">
        <v>157</v>
      </c>
      <c r="C72" s="181" t="s">
        <v>559</v>
      </c>
      <c r="D72" s="181" t="s">
        <v>650</v>
      </c>
      <c r="E72" s="182" t="s">
        <v>742</v>
      </c>
      <c r="F72" s="182" t="s">
        <v>834</v>
      </c>
      <c r="G72" s="177" t="s">
        <v>3823</v>
      </c>
      <c r="H72" s="177" t="s">
        <v>919</v>
      </c>
      <c r="I72" s="177" t="s">
        <v>1011</v>
      </c>
      <c r="J72" s="177" t="s">
        <v>1094</v>
      </c>
      <c r="K72" s="177" t="s">
        <v>3885</v>
      </c>
      <c r="L72" s="177" t="s">
        <v>1184</v>
      </c>
      <c r="M72" s="177" t="s">
        <v>1257</v>
      </c>
      <c r="N72" s="177" t="s">
        <v>1305</v>
      </c>
      <c r="O72" s="181" t="s">
        <v>157</v>
      </c>
      <c r="P72" s="177" t="s">
        <v>1384</v>
      </c>
      <c r="Q72" s="177" t="s">
        <v>1454</v>
      </c>
      <c r="R72" s="177" t="s">
        <v>1543</v>
      </c>
      <c r="S72" s="177" t="s">
        <v>1600</v>
      </c>
      <c r="T72" s="177" t="s">
        <v>1687</v>
      </c>
      <c r="U72" s="177" t="s">
        <v>1780</v>
      </c>
      <c r="V72" s="177" t="s">
        <v>3969</v>
      </c>
      <c r="W72" s="177" t="s">
        <v>1871</v>
      </c>
      <c r="X72" s="177" t="s">
        <v>1955</v>
      </c>
      <c r="Y72" s="177" t="s">
        <v>157</v>
      </c>
      <c r="Z72" s="177" t="s">
        <v>2054</v>
      </c>
      <c r="AA72" s="177" t="s">
        <v>2144</v>
      </c>
      <c r="AB72" s="177" t="s">
        <v>2237</v>
      </c>
      <c r="AC72" s="177" t="s">
        <v>2321</v>
      </c>
      <c r="AD72" s="177" t="s">
        <v>2408</v>
      </c>
      <c r="AE72" s="177" t="s">
        <v>2472</v>
      </c>
      <c r="AF72" s="177" t="s">
        <v>2548</v>
      </c>
      <c r="AG72" s="177" t="s">
        <v>2637</v>
      </c>
      <c r="AH72" s="177" t="s">
        <v>2692</v>
      </c>
      <c r="AI72" s="177" t="s">
        <v>2776</v>
      </c>
      <c r="AJ72" s="177" t="s">
        <v>2861</v>
      </c>
      <c r="AK72" s="177" t="s">
        <v>2942</v>
      </c>
      <c r="AL72" s="177" t="s">
        <v>3013</v>
      </c>
      <c r="AM72" s="177" t="s">
        <v>3084</v>
      </c>
      <c r="AN72" s="177" t="s">
        <v>3157</v>
      </c>
      <c r="AO72" s="177" t="s">
        <v>3237</v>
      </c>
      <c r="AP72" s="177" t="s">
        <v>3292</v>
      </c>
      <c r="AQ72" s="177" t="s">
        <v>3347</v>
      </c>
      <c r="AR72" s="177" t="s">
        <v>3415</v>
      </c>
      <c r="AS72" s="177" t="s">
        <v>3501</v>
      </c>
      <c r="AT72" s="177" t="s">
        <v>3590</v>
      </c>
      <c r="AU72" s="177" t="s">
        <v>3677</v>
      </c>
      <c r="AV72" s="177" t="s">
        <v>157</v>
      </c>
      <c r="AW72" s="181" t="str">
        <f>IF('Custom Language and Timezone'!E78&lt;&gt;"",'Custom Language and Timezone'!E78,'Custom Language and Timezone'!C78)</f>
        <v>Match 49 Winner</v>
      </c>
    </row>
    <row r="73" spans="1:49" x14ac:dyDescent="0.2">
      <c r="A73" s="181">
        <v>72</v>
      </c>
      <c r="B73" s="181" t="s">
        <v>158</v>
      </c>
      <c r="C73" s="181" t="s">
        <v>560</v>
      </c>
      <c r="D73" s="181" t="s">
        <v>651</v>
      </c>
      <c r="E73" s="182" t="s">
        <v>743</v>
      </c>
      <c r="F73" s="182" t="s">
        <v>835</v>
      </c>
      <c r="G73" s="177" t="s">
        <v>3824</v>
      </c>
      <c r="H73" s="177" t="s">
        <v>920</v>
      </c>
      <c r="I73" s="177" t="s">
        <v>1012</v>
      </c>
      <c r="J73" s="177" t="s">
        <v>1095</v>
      </c>
      <c r="K73" s="177" t="s">
        <v>3886</v>
      </c>
      <c r="L73" s="177" t="s">
        <v>1185</v>
      </c>
      <c r="M73" s="177" t="s">
        <v>1258</v>
      </c>
      <c r="N73" s="177" t="s">
        <v>1321</v>
      </c>
      <c r="O73" s="181" t="s">
        <v>158</v>
      </c>
      <c r="P73" s="177" t="s">
        <v>1385</v>
      </c>
      <c r="Q73" s="177" t="s">
        <v>1455</v>
      </c>
      <c r="R73" s="177" t="s">
        <v>1544</v>
      </c>
      <c r="S73" s="177" t="s">
        <v>1601</v>
      </c>
      <c r="T73" s="177" t="s">
        <v>1688</v>
      </c>
      <c r="U73" s="177" t="s">
        <v>1781</v>
      </c>
      <c r="V73" s="177" t="s">
        <v>3970</v>
      </c>
      <c r="W73" s="177" t="s">
        <v>1872</v>
      </c>
      <c r="X73" s="177" t="s">
        <v>1956</v>
      </c>
      <c r="Y73" s="177" t="s">
        <v>158</v>
      </c>
      <c r="Z73" s="177" t="s">
        <v>2055</v>
      </c>
      <c r="AA73" s="177" t="s">
        <v>2145</v>
      </c>
      <c r="AB73" s="177" t="s">
        <v>2238</v>
      </c>
      <c r="AC73" s="177" t="s">
        <v>2322</v>
      </c>
      <c r="AD73" s="177" t="s">
        <v>2409</v>
      </c>
      <c r="AE73" s="177" t="s">
        <v>2473</v>
      </c>
      <c r="AF73" s="177" t="s">
        <v>2549</v>
      </c>
      <c r="AG73" s="177" t="s">
        <v>2638</v>
      </c>
      <c r="AH73" s="177" t="s">
        <v>2693</v>
      </c>
      <c r="AI73" s="177" t="s">
        <v>2777</v>
      </c>
      <c r="AJ73" s="177" t="s">
        <v>2862</v>
      </c>
      <c r="AK73" s="177" t="s">
        <v>2943</v>
      </c>
      <c r="AL73" s="177" t="s">
        <v>3014</v>
      </c>
      <c r="AM73" s="177" t="s">
        <v>3085</v>
      </c>
      <c r="AN73" s="177" t="s">
        <v>3158</v>
      </c>
      <c r="AO73" s="177" t="s">
        <v>3238</v>
      </c>
      <c r="AP73" s="177" t="s">
        <v>3293</v>
      </c>
      <c r="AQ73" s="177" t="s">
        <v>3348</v>
      </c>
      <c r="AR73" s="177" t="s">
        <v>3416</v>
      </c>
      <c r="AS73" s="177" t="s">
        <v>3502</v>
      </c>
      <c r="AT73" s="177" t="s">
        <v>3591</v>
      </c>
      <c r="AU73" s="177" t="s">
        <v>3678</v>
      </c>
      <c r="AV73" s="177" t="s">
        <v>158</v>
      </c>
      <c r="AW73" s="181" t="str">
        <f>IF('Custom Language and Timezone'!E79&lt;&gt;"",'Custom Language and Timezone'!E79,'Custom Language and Timezone'!C79)</f>
        <v>Match 50 Winner</v>
      </c>
    </row>
    <row r="74" spans="1:49" x14ac:dyDescent="0.2">
      <c r="A74" s="181">
        <v>73</v>
      </c>
      <c r="B74" s="181" t="s">
        <v>159</v>
      </c>
      <c r="C74" s="181" t="s">
        <v>561</v>
      </c>
      <c r="D74" s="181" t="s">
        <v>652</v>
      </c>
      <c r="E74" s="182" t="s">
        <v>744</v>
      </c>
      <c r="F74" s="182" t="s">
        <v>836</v>
      </c>
      <c r="G74" s="177" t="s">
        <v>3825</v>
      </c>
      <c r="H74" s="177" t="s">
        <v>921</v>
      </c>
      <c r="I74" s="177" t="s">
        <v>1013</v>
      </c>
      <c r="J74" s="177" t="s">
        <v>1096</v>
      </c>
      <c r="K74" s="177" t="s">
        <v>3887</v>
      </c>
      <c r="L74" s="177" t="s">
        <v>1186</v>
      </c>
      <c r="M74" s="177" t="s">
        <v>1259</v>
      </c>
      <c r="N74" s="177" t="s">
        <v>1306</v>
      </c>
      <c r="O74" s="181" t="s">
        <v>159</v>
      </c>
      <c r="P74" s="177" t="s">
        <v>1386</v>
      </c>
      <c r="Q74" s="177" t="s">
        <v>1456</v>
      </c>
      <c r="R74" s="177" t="s">
        <v>1545</v>
      </c>
      <c r="S74" s="177" t="s">
        <v>1602</v>
      </c>
      <c r="T74" s="177" t="s">
        <v>1689</v>
      </c>
      <c r="U74" s="177" t="s">
        <v>1782</v>
      </c>
      <c r="V74" s="177" t="s">
        <v>3971</v>
      </c>
      <c r="W74" s="177" t="s">
        <v>1873</v>
      </c>
      <c r="X74" s="177" t="s">
        <v>1957</v>
      </c>
      <c r="Y74" s="177" t="s">
        <v>159</v>
      </c>
      <c r="Z74" s="177" t="s">
        <v>2056</v>
      </c>
      <c r="AA74" s="177" t="s">
        <v>2146</v>
      </c>
      <c r="AB74" s="177" t="s">
        <v>2239</v>
      </c>
      <c r="AC74" s="177" t="s">
        <v>2323</v>
      </c>
      <c r="AD74" s="177" t="s">
        <v>2410</v>
      </c>
      <c r="AE74" s="177" t="s">
        <v>2474</v>
      </c>
      <c r="AF74" s="177" t="s">
        <v>2550</v>
      </c>
      <c r="AG74" s="177" t="s">
        <v>2639</v>
      </c>
      <c r="AH74" s="177" t="s">
        <v>2694</v>
      </c>
      <c r="AI74" s="177" t="s">
        <v>2778</v>
      </c>
      <c r="AJ74" s="177" t="s">
        <v>2863</v>
      </c>
      <c r="AK74" s="177" t="s">
        <v>2944</v>
      </c>
      <c r="AL74" s="177" t="s">
        <v>3015</v>
      </c>
      <c r="AM74" s="177" t="s">
        <v>3086</v>
      </c>
      <c r="AN74" s="177" t="s">
        <v>3159</v>
      </c>
      <c r="AO74" s="177" t="s">
        <v>3239</v>
      </c>
      <c r="AP74" s="177" t="s">
        <v>3294</v>
      </c>
      <c r="AQ74" s="177" t="s">
        <v>3349</v>
      </c>
      <c r="AR74" s="177" t="s">
        <v>3417</v>
      </c>
      <c r="AS74" s="177" t="s">
        <v>3503</v>
      </c>
      <c r="AT74" s="177" t="s">
        <v>3592</v>
      </c>
      <c r="AU74" s="177" t="s">
        <v>3679</v>
      </c>
      <c r="AV74" s="177" t="s">
        <v>159</v>
      </c>
      <c r="AW74" s="181" t="str">
        <f>IF('Custom Language and Timezone'!E80&lt;&gt;"",'Custom Language and Timezone'!E80,'Custom Language and Timezone'!C80)</f>
        <v>Match 51 Winner</v>
      </c>
    </row>
    <row r="75" spans="1:49" x14ac:dyDescent="0.2">
      <c r="A75" s="181">
        <v>74</v>
      </c>
      <c r="B75" s="181" t="s">
        <v>14</v>
      </c>
      <c r="C75" s="181" t="s">
        <v>562</v>
      </c>
      <c r="D75" s="181" t="s">
        <v>653</v>
      </c>
      <c r="E75" s="182" t="s">
        <v>745</v>
      </c>
      <c r="F75" s="182" t="s">
        <v>837</v>
      </c>
      <c r="G75" s="177" t="s">
        <v>3826</v>
      </c>
      <c r="H75" s="177" t="s">
        <v>922</v>
      </c>
      <c r="I75" s="177" t="s">
        <v>1014</v>
      </c>
      <c r="J75" s="177" t="s">
        <v>1097</v>
      </c>
      <c r="K75" s="177" t="s">
        <v>3888</v>
      </c>
      <c r="L75" s="177" t="s">
        <v>1187</v>
      </c>
      <c r="M75" s="177" t="s">
        <v>1260</v>
      </c>
      <c r="N75" s="177" t="s">
        <v>426</v>
      </c>
      <c r="O75" s="181" t="s">
        <v>14</v>
      </c>
      <c r="P75" s="177" t="s">
        <v>1387</v>
      </c>
      <c r="Q75" s="177" t="s">
        <v>1457</v>
      </c>
      <c r="R75" s="177" t="s">
        <v>1546</v>
      </c>
      <c r="S75" s="177" t="s">
        <v>1603</v>
      </c>
      <c r="T75" s="177" t="s">
        <v>1690</v>
      </c>
      <c r="U75" s="177" t="s">
        <v>1783</v>
      </c>
      <c r="V75" s="177" t="s">
        <v>3972</v>
      </c>
      <c r="W75" s="177" t="s">
        <v>1874</v>
      </c>
      <c r="X75" s="177" t="s">
        <v>1958</v>
      </c>
      <c r="Y75" s="177" t="s">
        <v>1993</v>
      </c>
      <c r="Z75" s="177" t="s">
        <v>2057</v>
      </c>
      <c r="AA75" s="177" t="s">
        <v>2147</v>
      </c>
      <c r="AB75" s="177" t="s">
        <v>2240</v>
      </c>
      <c r="AC75" s="177" t="s">
        <v>2324</v>
      </c>
      <c r="AD75" s="177" t="s">
        <v>2411</v>
      </c>
      <c r="AE75" s="177" t="s">
        <v>2475</v>
      </c>
      <c r="AF75" s="177" t="s">
        <v>2551</v>
      </c>
      <c r="AG75" s="177" t="s">
        <v>2640</v>
      </c>
      <c r="AH75" s="177" t="s">
        <v>2695</v>
      </c>
      <c r="AI75" s="177" t="s">
        <v>2779</v>
      </c>
      <c r="AJ75" s="177" t="s">
        <v>2864</v>
      </c>
      <c r="AK75" s="177" t="s">
        <v>2945</v>
      </c>
      <c r="AL75" s="177" t="s">
        <v>3016</v>
      </c>
      <c r="AM75" s="177" t="s">
        <v>3087</v>
      </c>
      <c r="AN75" s="177" t="s">
        <v>3160</v>
      </c>
      <c r="AO75" s="177" t="s">
        <v>3240</v>
      </c>
      <c r="AP75" s="177" t="s">
        <v>3295</v>
      </c>
      <c r="AQ75" s="177" t="s">
        <v>3350</v>
      </c>
      <c r="AR75" s="177" t="s">
        <v>3418</v>
      </c>
      <c r="AS75" s="177" t="s">
        <v>3504</v>
      </c>
      <c r="AT75" s="177" t="s">
        <v>3593</v>
      </c>
      <c r="AU75" s="177" t="s">
        <v>3680</v>
      </c>
      <c r="AV75" s="177" t="s">
        <v>3745</v>
      </c>
      <c r="AW75" s="181" t="str">
        <f>IF('Custom Language and Timezone'!E81&lt;&gt;"",'Custom Language and Timezone'!E81,'Custom Language and Timezone'!C81)</f>
        <v>Visit exceltemplate.net for more templates and updates</v>
      </c>
    </row>
    <row r="76" spans="1:49" x14ac:dyDescent="0.2">
      <c r="A76" s="181">
        <v>75</v>
      </c>
      <c r="B76" s="181" t="s">
        <v>443</v>
      </c>
      <c r="C76" s="181" t="s">
        <v>563</v>
      </c>
      <c r="D76" s="181" t="s">
        <v>654</v>
      </c>
      <c r="E76" s="182" t="s">
        <v>746</v>
      </c>
      <c r="F76" s="182" t="s">
        <v>838</v>
      </c>
      <c r="G76" s="177" t="s">
        <v>3827</v>
      </c>
      <c r="H76" s="177" t="s">
        <v>923</v>
      </c>
      <c r="I76" s="177" t="s">
        <v>1015</v>
      </c>
      <c r="J76" s="177" t="s">
        <v>1098</v>
      </c>
      <c r="K76" s="177" t="s">
        <v>3241</v>
      </c>
      <c r="L76" s="177" t="s">
        <v>1188</v>
      </c>
      <c r="M76" s="177" t="s">
        <v>1261</v>
      </c>
      <c r="N76" s="177" t="s">
        <v>1307</v>
      </c>
      <c r="O76" s="181" t="s">
        <v>443</v>
      </c>
      <c r="P76" s="177" t="s">
        <v>1388</v>
      </c>
      <c r="Q76" s="177" t="s">
        <v>1458</v>
      </c>
      <c r="R76" s="177" t="s">
        <v>1547</v>
      </c>
      <c r="S76" s="177" t="s">
        <v>1604</v>
      </c>
      <c r="T76" s="177" t="s">
        <v>1691</v>
      </c>
      <c r="U76" s="177" t="s">
        <v>1784</v>
      </c>
      <c r="V76" s="177" t="s">
        <v>3973</v>
      </c>
      <c r="W76" s="177" t="s">
        <v>1875</v>
      </c>
      <c r="X76" s="177" t="s">
        <v>1959</v>
      </c>
      <c r="Y76" s="177" t="s">
        <v>1994</v>
      </c>
      <c r="Z76" s="177" t="s">
        <v>2058</v>
      </c>
      <c r="AA76" s="177" t="s">
        <v>2148</v>
      </c>
      <c r="AB76" s="177" t="s">
        <v>2241</v>
      </c>
      <c r="AC76" s="177" t="s">
        <v>2325</v>
      </c>
      <c r="AD76" s="177" t="s">
        <v>2412</v>
      </c>
      <c r="AE76" s="177" t="s">
        <v>2476</v>
      </c>
      <c r="AF76" s="177" t="s">
        <v>2552</v>
      </c>
      <c r="AG76" s="177" t="s">
        <v>2641</v>
      </c>
      <c r="AH76" s="177" t="s">
        <v>2696</v>
      </c>
      <c r="AI76" s="177" t="s">
        <v>2780</v>
      </c>
      <c r="AJ76" s="177" t="s">
        <v>2865</v>
      </c>
      <c r="AK76" s="177" t="s">
        <v>2946</v>
      </c>
      <c r="AL76" s="177" t="s">
        <v>3017</v>
      </c>
      <c r="AM76" s="177" t="s">
        <v>3088</v>
      </c>
      <c r="AN76" s="177" t="s">
        <v>3161</v>
      </c>
      <c r="AO76" s="177" t="s">
        <v>3241</v>
      </c>
      <c r="AP76" s="177" t="s">
        <v>3296</v>
      </c>
      <c r="AQ76" s="177" t="s">
        <v>3351</v>
      </c>
      <c r="AR76" s="177" t="s">
        <v>3419</v>
      </c>
      <c r="AS76" s="177" t="s">
        <v>3505</v>
      </c>
      <c r="AT76" s="177" t="s">
        <v>3594</v>
      </c>
      <c r="AU76" s="177" t="s">
        <v>3681</v>
      </c>
      <c r="AV76" s="177" t="s">
        <v>3746</v>
      </c>
      <c r="AW76" s="181" t="str">
        <f>IF('Custom Language and Timezone'!E82&lt;&gt;"",'Custom Language and Timezone'!E82,'Custom Language and Timezone'!C82)</f>
        <v>Euro 2016 Schedule and Scoresheet</v>
      </c>
    </row>
    <row r="77" spans="1:49" x14ac:dyDescent="0.2">
      <c r="A77" s="181">
        <v>76</v>
      </c>
      <c r="B77" s="181" t="s">
        <v>46</v>
      </c>
      <c r="C77" s="181" t="s">
        <v>564</v>
      </c>
      <c r="D77" s="181" t="s">
        <v>655</v>
      </c>
      <c r="E77" s="181" t="s">
        <v>747</v>
      </c>
      <c r="F77" s="181" t="s">
        <v>839</v>
      </c>
      <c r="G77" s="177" t="s">
        <v>3828</v>
      </c>
      <c r="H77" s="177" t="s">
        <v>924</v>
      </c>
      <c r="I77" s="177" t="s">
        <v>1016</v>
      </c>
      <c r="J77" s="177" t="s">
        <v>1099</v>
      </c>
      <c r="K77" s="177" t="s">
        <v>3889</v>
      </c>
      <c r="L77" s="177" t="s">
        <v>1189</v>
      </c>
      <c r="M77" s="177" t="s">
        <v>1262</v>
      </c>
      <c r="N77" s="177" t="s">
        <v>1308</v>
      </c>
      <c r="O77" s="181" t="s">
        <v>46</v>
      </c>
      <c r="P77" s="177" t="s">
        <v>1389</v>
      </c>
      <c r="Q77" s="177" t="s">
        <v>1459</v>
      </c>
      <c r="R77" s="177" t="s">
        <v>1548</v>
      </c>
      <c r="S77" s="177" t="s">
        <v>1605</v>
      </c>
      <c r="T77" s="177" t="s">
        <v>1692</v>
      </c>
      <c r="U77" s="177" t="s">
        <v>1785</v>
      </c>
      <c r="V77" s="177" t="s">
        <v>3974</v>
      </c>
      <c r="W77" s="177" t="s">
        <v>1876</v>
      </c>
      <c r="X77" s="177" t="s">
        <v>1960</v>
      </c>
      <c r="Y77" s="177" t="s">
        <v>1995</v>
      </c>
      <c r="Z77" s="177" t="s">
        <v>2059</v>
      </c>
      <c r="AA77" s="177" t="s">
        <v>2149</v>
      </c>
      <c r="AB77" s="177" t="s">
        <v>2242</v>
      </c>
      <c r="AC77" s="177" t="s">
        <v>2326</v>
      </c>
      <c r="AD77" s="177" t="s">
        <v>2413</v>
      </c>
      <c r="AE77" s="177" t="s">
        <v>2477</v>
      </c>
      <c r="AF77" s="177" t="s">
        <v>2553</v>
      </c>
      <c r="AG77" s="177" t="s">
        <v>2642</v>
      </c>
      <c r="AH77" s="177" t="s">
        <v>2697</v>
      </c>
      <c r="AI77" s="177" t="s">
        <v>2781</v>
      </c>
      <c r="AJ77" s="177" t="s">
        <v>2866</v>
      </c>
      <c r="AK77" s="177" t="s">
        <v>2947</v>
      </c>
      <c r="AL77" s="177" t="s">
        <v>3018</v>
      </c>
      <c r="AM77" s="177" t="s">
        <v>3089</v>
      </c>
      <c r="AN77" s="177" t="s">
        <v>3162</v>
      </c>
      <c r="AO77" s="177" t="s">
        <v>3242</v>
      </c>
      <c r="AP77" s="177" t="s">
        <v>3297</v>
      </c>
      <c r="AQ77" s="177" t="s">
        <v>3352</v>
      </c>
      <c r="AR77" s="177" t="s">
        <v>3420</v>
      </c>
      <c r="AS77" s="177" t="s">
        <v>3506</v>
      </c>
      <c r="AT77" s="177" t="s">
        <v>3595</v>
      </c>
      <c r="AU77" s="177" t="s">
        <v>3682</v>
      </c>
      <c r="AV77" s="177" t="s">
        <v>3747</v>
      </c>
      <c r="AW77" s="181" t="str">
        <f>IF('Custom Language and Timezone'!E83&lt;&gt;"",'Custom Language and Timezone'!E83,'Custom Language and Timezone'!C83)</f>
        <v>Select text you want to highlight, delete to remove highlight</v>
      </c>
    </row>
    <row r="78" spans="1:49" x14ac:dyDescent="0.2">
      <c r="A78" s="181">
        <v>77</v>
      </c>
      <c r="B78" s="181" t="s">
        <v>151</v>
      </c>
      <c r="C78" s="181" t="s">
        <v>565</v>
      </c>
      <c r="D78" s="181" t="s">
        <v>656</v>
      </c>
      <c r="E78" s="181" t="s">
        <v>748</v>
      </c>
      <c r="F78" s="181" t="s">
        <v>840</v>
      </c>
      <c r="G78" s="177" t="s">
        <v>3683</v>
      </c>
      <c r="H78" s="177" t="s">
        <v>925</v>
      </c>
      <c r="I78" s="177" t="s">
        <v>1017</v>
      </c>
      <c r="J78" s="177" t="s">
        <v>1100</v>
      </c>
      <c r="K78" s="177" t="s">
        <v>1190</v>
      </c>
      <c r="L78" s="177" t="s">
        <v>1190</v>
      </c>
      <c r="M78" s="177" t="s">
        <v>1263</v>
      </c>
      <c r="N78" s="177" t="s">
        <v>565</v>
      </c>
      <c r="O78" s="181" t="s">
        <v>151</v>
      </c>
      <c r="P78" s="177" t="s">
        <v>8</v>
      </c>
      <c r="Q78" s="177" t="s">
        <v>1460</v>
      </c>
      <c r="R78" s="177" t="s">
        <v>1549</v>
      </c>
      <c r="S78" s="177" t="s">
        <v>1263</v>
      </c>
      <c r="T78" s="177" t="s">
        <v>1693</v>
      </c>
      <c r="U78" s="177" t="s">
        <v>1786</v>
      </c>
      <c r="V78" s="177" t="s">
        <v>3975</v>
      </c>
      <c r="W78" s="177" t="s">
        <v>1877</v>
      </c>
      <c r="X78" s="177" t="s">
        <v>925</v>
      </c>
      <c r="Y78" s="177" t="s">
        <v>151</v>
      </c>
      <c r="Z78" s="177" t="s">
        <v>2060</v>
      </c>
      <c r="AA78" s="177" t="s">
        <v>2150</v>
      </c>
      <c r="AB78" s="177" t="s">
        <v>2197</v>
      </c>
      <c r="AC78" s="177" t="s">
        <v>2282</v>
      </c>
      <c r="AD78" s="177" t="s">
        <v>840</v>
      </c>
      <c r="AE78" s="177" t="s">
        <v>2478</v>
      </c>
      <c r="AF78" s="177" t="s">
        <v>2554</v>
      </c>
      <c r="AG78" s="177" t="s">
        <v>2643</v>
      </c>
      <c r="AH78" s="177" t="s">
        <v>1263</v>
      </c>
      <c r="AI78" s="177" t="s">
        <v>2782</v>
      </c>
      <c r="AJ78" s="177" t="s">
        <v>2867</v>
      </c>
      <c r="AK78" s="177" t="s">
        <v>2948</v>
      </c>
      <c r="AL78" s="177" t="s">
        <v>2867</v>
      </c>
      <c r="AM78" s="177" t="s">
        <v>3090</v>
      </c>
      <c r="AN78" s="177" t="s">
        <v>840</v>
      </c>
      <c r="AO78" s="177" t="s">
        <v>1190</v>
      </c>
      <c r="AP78" s="177" t="s">
        <v>1190</v>
      </c>
      <c r="AQ78" s="177" t="s">
        <v>2948</v>
      </c>
      <c r="AR78" s="177" t="s">
        <v>2554</v>
      </c>
      <c r="AS78" s="177" t="s">
        <v>3507</v>
      </c>
      <c r="AT78" s="177" t="s">
        <v>3596</v>
      </c>
      <c r="AU78" s="177" t="s">
        <v>3683</v>
      </c>
      <c r="AV78" s="177" t="s">
        <v>3748</v>
      </c>
      <c r="AW78" s="181" t="str">
        <f>IF('Custom Language and Timezone'!E84&lt;&gt;"",'Custom Language and Timezone'!E84,'Custom Language and Timezone'!C84)</f>
        <v>Group A</v>
      </c>
    </row>
    <row r="79" spans="1:49" x14ac:dyDescent="0.2">
      <c r="A79" s="181">
        <v>78</v>
      </c>
      <c r="B79" s="181" t="s">
        <v>152</v>
      </c>
      <c r="C79" s="181" t="s">
        <v>566</v>
      </c>
      <c r="D79" s="181" t="s">
        <v>657</v>
      </c>
      <c r="E79" s="182" t="s">
        <v>749</v>
      </c>
      <c r="F79" s="182" t="s">
        <v>841</v>
      </c>
      <c r="G79" s="177" t="s">
        <v>841</v>
      </c>
      <c r="H79" s="177" t="s">
        <v>926</v>
      </c>
      <c r="I79" s="177" t="s">
        <v>1018</v>
      </c>
      <c r="J79" s="177" t="s">
        <v>1101</v>
      </c>
      <c r="K79" s="177" t="s">
        <v>1191</v>
      </c>
      <c r="L79" s="177" t="s">
        <v>1191</v>
      </c>
      <c r="M79" s="177" t="s">
        <v>1264</v>
      </c>
      <c r="N79" s="177" t="s">
        <v>566</v>
      </c>
      <c r="O79" s="181" t="s">
        <v>152</v>
      </c>
      <c r="P79" s="177" t="s">
        <v>1390</v>
      </c>
      <c r="Q79" s="177" t="s">
        <v>1461</v>
      </c>
      <c r="R79" s="177" t="s">
        <v>1550</v>
      </c>
      <c r="S79" s="177" t="s">
        <v>1264</v>
      </c>
      <c r="T79" s="177" t="s">
        <v>1694</v>
      </c>
      <c r="U79" s="177" t="s">
        <v>1787</v>
      </c>
      <c r="V79" s="177" t="s">
        <v>3976</v>
      </c>
      <c r="W79" s="177" t="s">
        <v>1878</v>
      </c>
      <c r="X79" s="177" t="s">
        <v>926</v>
      </c>
      <c r="Y79" s="177" t="s">
        <v>152</v>
      </c>
      <c r="Z79" s="177" t="s">
        <v>2061</v>
      </c>
      <c r="AA79" s="177" t="s">
        <v>2151</v>
      </c>
      <c r="AB79" s="177" t="s">
        <v>2243</v>
      </c>
      <c r="AC79" s="177" t="s">
        <v>2327</v>
      </c>
      <c r="AD79" s="177" t="s">
        <v>2414</v>
      </c>
      <c r="AE79" s="177" t="s">
        <v>2479</v>
      </c>
      <c r="AF79" s="177" t="s">
        <v>2555</v>
      </c>
      <c r="AG79" s="177" t="s">
        <v>2644</v>
      </c>
      <c r="AH79" s="177" t="s">
        <v>1264</v>
      </c>
      <c r="AI79" s="177" t="s">
        <v>2783</v>
      </c>
      <c r="AJ79" s="177" t="s">
        <v>2868</v>
      </c>
      <c r="AK79" s="177" t="s">
        <v>2949</v>
      </c>
      <c r="AL79" s="177" t="s">
        <v>2868</v>
      </c>
      <c r="AM79" s="177" t="s">
        <v>3091</v>
      </c>
      <c r="AN79" s="177" t="s">
        <v>2414</v>
      </c>
      <c r="AO79" s="177" t="s">
        <v>1191</v>
      </c>
      <c r="AP79" s="177" t="s">
        <v>1191</v>
      </c>
      <c r="AQ79" s="177" t="s">
        <v>2949</v>
      </c>
      <c r="AR79" s="177" t="s">
        <v>2555</v>
      </c>
      <c r="AS79" s="177" t="s">
        <v>3508</v>
      </c>
      <c r="AT79" s="177" t="s">
        <v>3597</v>
      </c>
      <c r="AU79" s="177" t="s">
        <v>841</v>
      </c>
      <c r="AV79" s="177" t="s">
        <v>3749</v>
      </c>
      <c r="AW79" s="181" t="str">
        <f>IF('Custom Language and Timezone'!E85&lt;&gt;"",'Custom Language and Timezone'!E85,'Custom Language and Timezone'!C85)</f>
        <v>Group B</v>
      </c>
    </row>
    <row r="80" spans="1:49" x14ac:dyDescent="0.2">
      <c r="A80" s="181">
        <v>79</v>
      </c>
      <c r="B80" s="181" t="s">
        <v>153</v>
      </c>
      <c r="C80" s="181" t="s">
        <v>567</v>
      </c>
      <c r="D80" s="181" t="s">
        <v>658</v>
      </c>
      <c r="E80" s="182" t="s">
        <v>750</v>
      </c>
      <c r="F80" s="182" t="s">
        <v>842</v>
      </c>
      <c r="G80" s="177" t="s">
        <v>842</v>
      </c>
      <c r="H80" s="177" t="s">
        <v>927</v>
      </c>
      <c r="I80" s="177" t="s">
        <v>1019</v>
      </c>
      <c r="J80" s="177" t="s">
        <v>1102</v>
      </c>
      <c r="K80" s="177" t="s">
        <v>1192</v>
      </c>
      <c r="L80" s="177" t="s">
        <v>1192</v>
      </c>
      <c r="M80" s="177" t="s">
        <v>1265</v>
      </c>
      <c r="N80" s="177" t="s">
        <v>567</v>
      </c>
      <c r="O80" s="181" t="s">
        <v>153</v>
      </c>
      <c r="P80" s="177" t="s">
        <v>1391</v>
      </c>
      <c r="Q80" s="177" t="s">
        <v>1462</v>
      </c>
      <c r="R80" s="177" t="s">
        <v>1551</v>
      </c>
      <c r="S80" s="177" t="s">
        <v>1265</v>
      </c>
      <c r="T80" s="177" t="s">
        <v>1695</v>
      </c>
      <c r="U80" s="177" t="s">
        <v>1788</v>
      </c>
      <c r="V80" s="177" t="s">
        <v>3977</v>
      </c>
      <c r="W80" s="177" t="s">
        <v>1879</v>
      </c>
      <c r="X80" s="177" t="s">
        <v>927</v>
      </c>
      <c r="Y80" s="177" t="s">
        <v>153</v>
      </c>
      <c r="Z80" s="177" t="s">
        <v>2062</v>
      </c>
      <c r="AA80" s="177" t="s">
        <v>2152</v>
      </c>
      <c r="AB80" s="177" t="s">
        <v>2244</v>
      </c>
      <c r="AC80" s="177" t="s">
        <v>2328</v>
      </c>
      <c r="AD80" s="177" t="s">
        <v>2415</v>
      </c>
      <c r="AE80" s="177" t="s">
        <v>2480</v>
      </c>
      <c r="AF80" s="177" t="s">
        <v>2556</v>
      </c>
      <c r="AG80" s="177" t="s">
        <v>2645</v>
      </c>
      <c r="AH80" s="177" t="s">
        <v>1265</v>
      </c>
      <c r="AI80" s="177" t="s">
        <v>2784</v>
      </c>
      <c r="AJ80" s="177" t="s">
        <v>2869</v>
      </c>
      <c r="AK80" s="177" t="s">
        <v>2950</v>
      </c>
      <c r="AL80" s="177" t="s">
        <v>2869</v>
      </c>
      <c r="AM80" s="177" t="s">
        <v>3092</v>
      </c>
      <c r="AN80" s="177" t="s">
        <v>3163</v>
      </c>
      <c r="AO80" s="177" t="s">
        <v>1192</v>
      </c>
      <c r="AP80" s="177" t="s">
        <v>1192</v>
      </c>
      <c r="AQ80" s="177" t="s">
        <v>2950</v>
      </c>
      <c r="AR80" s="177" t="s">
        <v>2556</v>
      </c>
      <c r="AS80" s="177" t="s">
        <v>3509</v>
      </c>
      <c r="AT80" s="177" t="s">
        <v>927</v>
      </c>
      <c r="AU80" s="177" t="s">
        <v>842</v>
      </c>
      <c r="AV80" s="177" t="s">
        <v>3750</v>
      </c>
      <c r="AW80" s="181" t="str">
        <f>IF('Custom Language and Timezone'!E86&lt;&gt;"",'Custom Language and Timezone'!E86,'Custom Language and Timezone'!C86)</f>
        <v>Group C</v>
      </c>
    </row>
    <row r="81" spans="1:49" x14ac:dyDescent="0.2">
      <c r="A81" s="181">
        <v>80</v>
      </c>
      <c r="B81" s="181" t="s">
        <v>154</v>
      </c>
      <c r="C81" s="181" t="s">
        <v>568</v>
      </c>
      <c r="D81" s="181" t="s">
        <v>659</v>
      </c>
      <c r="E81" s="182" t="s">
        <v>751</v>
      </c>
      <c r="F81" s="182" t="s">
        <v>843</v>
      </c>
      <c r="G81" s="177" t="s">
        <v>843</v>
      </c>
      <c r="H81" s="177" t="s">
        <v>928</v>
      </c>
      <c r="I81" s="177" t="s">
        <v>1020</v>
      </c>
      <c r="J81" s="177" t="s">
        <v>1103</v>
      </c>
      <c r="K81" s="177" t="s">
        <v>1193</v>
      </c>
      <c r="L81" s="177" t="s">
        <v>1193</v>
      </c>
      <c r="M81" s="177" t="s">
        <v>1266</v>
      </c>
      <c r="N81" s="177" t="s">
        <v>568</v>
      </c>
      <c r="O81" s="181" t="s">
        <v>154</v>
      </c>
      <c r="P81" s="177" t="s">
        <v>1392</v>
      </c>
      <c r="Q81" s="177" t="s">
        <v>1463</v>
      </c>
      <c r="R81" s="177" t="s">
        <v>1552</v>
      </c>
      <c r="S81" s="177" t="s">
        <v>1266</v>
      </c>
      <c r="T81" s="177" t="s">
        <v>1696</v>
      </c>
      <c r="U81" s="177" t="s">
        <v>1789</v>
      </c>
      <c r="V81" s="177" t="s">
        <v>3978</v>
      </c>
      <c r="W81" s="177" t="s">
        <v>1880</v>
      </c>
      <c r="X81" s="177" t="s">
        <v>928</v>
      </c>
      <c r="Y81" s="177" t="s">
        <v>154</v>
      </c>
      <c r="Z81" s="177" t="s">
        <v>2063</v>
      </c>
      <c r="AA81" s="177" t="s">
        <v>2153</v>
      </c>
      <c r="AB81" s="177" t="s">
        <v>2245</v>
      </c>
      <c r="AC81" s="177" t="s">
        <v>2329</v>
      </c>
      <c r="AD81" s="177" t="s">
        <v>2416</v>
      </c>
      <c r="AE81" s="177" t="s">
        <v>2481</v>
      </c>
      <c r="AF81" s="177" t="s">
        <v>2557</v>
      </c>
      <c r="AG81" s="177" t="s">
        <v>2646</v>
      </c>
      <c r="AH81" s="177" t="s">
        <v>1266</v>
      </c>
      <c r="AI81" s="177" t="s">
        <v>2785</v>
      </c>
      <c r="AJ81" s="177" t="s">
        <v>2870</v>
      </c>
      <c r="AK81" s="177" t="s">
        <v>2951</v>
      </c>
      <c r="AL81" s="177" t="s">
        <v>2870</v>
      </c>
      <c r="AM81" s="177" t="s">
        <v>3093</v>
      </c>
      <c r="AN81" s="177" t="s">
        <v>2416</v>
      </c>
      <c r="AO81" s="177" t="s">
        <v>1193</v>
      </c>
      <c r="AP81" s="177" t="s">
        <v>1193</v>
      </c>
      <c r="AQ81" s="177" t="s">
        <v>2951</v>
      </c>
      <c r="AR81" s="177" t="s">
        <v>2557</v>
      </c>
      <c r="AS81" s="177" t="s">
        <v>3510</v>
      </c>
      <c r="AT81" s="177" t="s">
        <v>3598</v>
      </c>
      <c r="AU81" s="177" t="s">
        <v>843</v>
      </c>
      <c r="AV81" s="177" t="s">
        <v>3751</v>
      </c>
      <c r="AW81" s="181" t="str">
        <f>IF('Custom Language and Timezone'!E87&lt;&gt;"",'Custom Language and Timezone'!E87,'Custom Language and Timezone'!C87)</f>
        <v>Group D</v>
      </c>
    </row>
    <row r="82" spans="1:49" x14ac:dyDescent="0.2">
      <c r="A82" s="181">
        <v>81</v>
      </c>
      <c r="B82" s="181" t="s">
        <v>155</v>
      </c>
      <c r="C82" s="181" t="s">
        <v>569</v>
      </c>
      <c r="D82" s="181" t="s">
        <v>660</v>
      </c>
      <c r="E82" s="182" t="s">
        <v>752</v>
      </c>
      <c r="F82" s="182" t="s">
        <v>844</v>
      </c>
      <c r="G82" s="177" t="s">
        <v>844</v>
      </c>
      <c r="H82" s="177" t="s">
        <v>929</v>
      </c>
      <c r="I82" s="177" t="s">
        <v>1021</v>
      </c>
      <c r="J82" s="177" t="s">
        <v>1104</v>
      </c>
      <c r="K82" s="177" t="s">
        <v>1194</v>
      </c>
      <c r="L82" s="177" t="s">
        <v>1194</v>
      </c>
      <c r="M82" s="177" t="s">
        <v>1267</v>
      </c>
      <c r="N82" s="177" t="s">
        <v>569</v>
      </c>
      <c r="O82" s="181" t="s">
        <v>155</v>
      </c>
      <c r="P82" s="177" t="s">
        <v>1393</v>
      </c>
      <c r="Q82" s="177" t="s">
        <v>1464</v>
      </c>
      <c r="R82" s="177" t="s">
        <v>1553</v>
      </c>
      <c r="S82" s="177" t="s">
        <v>1267</v>
      </c>
      <c r="T82" s="177" t="s">
        <v>1697</v>
      </c>
      <c r="U82" s="177" t="s">
        <v>1790</v>
      </c>
      <c r="V82" s="177" t="s">
        <v>3979</v>
      </c>
      <c r="W82" s="177" t="s">
        <v>1881</v>
      </c>
      <c r="X82" s="177" t="s">
        <v>929</v>
      </c>
      <c r="Y82" s="177" t="s">
        <v>155</v>
      </c>
      <c r="Z82" s="177" t="s">
        <v>2064</v>
      </c>
      <c r="AA82" s="177" t="s">
        <v>2154</v>
      </c>
      <c r="AB82" s="177" t="s">
        <v>2246</v>
      </c>
      <c r="AC82" s="177" t="s">
        <v>2330</v>
      </c>
      <c r="AD82" s="177" t="s">
        <v>844</v>
      </c>
      <c r="AE82" s="177" t="s">
        <v>2482</v>
      </c>
      <c r="AF82" s="177" t="s">
        <v>2558</v>
      </c>
      <c r="AG82" s="177" t="s">
        <v>2647</v>
      </c>
      <c r="AH82" s="177" t="s">
        <v>1267</v>
      </c>
      <c r="AI82" s="177" t="s">
        <v>2786</v>
      </c>
      <c r="AJ82" s="177" t="s">
        <v>2871</v>
      </c>
      <c r="AK82" s="177" t="s">
        <v>2952</v>
      </c>
      <c r="AL82" s="177" t="s">
        <v>2871</v>
      </c>
      <c r="AM82" s="177" t="s">
        <v>3094</v>
      </c>
      <c r="AN82" s="177" t="s">
        <v>3164</v>
      </c>
      <c r="AO82" s="177" t="s">
        <v>1194</v>
      </c>
      <c r="AP82" s="177" t="s">
        <v>1194</v>
      </c>
      <c r="AQ82" s="177" t="s">
        <v>2952</v>
      </c>
      <c r="AR82" s="177" t="s">
        <v>2558</v>
      </c>
      <c r="AS82" s="177" t="s">
        <v>3511</v>
      </c>
      <c r="AT82" s="177" t="s">
        <v>929</v>
      </c>
      <c r="AU82" s="177" t="s">
        <v>844</v>
      </c>
      <c r="AV82" s="177" t="s">
        <v>3752</v>
      </c>
      <c r="AW82" s="181" t="str">
        <f>IF('Custom Language and Timezone'!E88&lt;&gt;"",'Custom Language and Timezone'!E88,'Custom Language and Timezone'!C88)</f>
        <v>Group E</v>
      </c>
    </row>
    <row r="83" spans="1:49" x14ac:dyDescent="0.2">
      <c r="A83" s="181">
        <v>82</v>
      </c>
      <c r="B83" s="181" t="s">
        <v>156</v>
      </c>
      <c r="C83" s="181" t="s">
        <v>570</v>
      </c>
      <c r="D83" s="181" t="s">
        <v>661</v>
      </c>
      <c r="E83" s="182" t="s">
        <v>753</v>
      </c>
      <c r="F83" s="182" t="s">
        <v>845</v>
      </c>
      <c r="G83" s="177" t="s">
        <v>845</v>
      </c>
      <c r="H83" s="177" t="s">
        <v>930</v>
      </c>
      <c r="I83" s="177" t="s">
        <v>1022</v>
      </c>
      <c r="J83" s="177" t="s">
        <v>1105</v>
      </c>
      <c r="K83" s="177" t="s">
        <v>1195</v>
      </c>
      <c r="L83" s="177" t="s">
        <v>1195</v>
      </c>
      <c r="M83" s="177" t="s">
        <v>1268</v>
      </c>
      <c r="N83" s="177" t="s">
        <v>570</v>
      </c>
      <c r="O83" s="181" t="s">
        <v>156</v>
      </c>
      <c r="P83" s="177" t="s">
        <v>1394</v>
      </c>
      <c r="Q83" s="177" t="s">
        <v>1465</v>
      </c>
      <c r="R83" s="177" t="s">
        <v>1554</v>
      </c>
      <c r="S83" s="177" t="s">
        <v>1268</v>
      </c>
      <c r="T83" s="177" t="s">
        <v>1698</v>
      </c>
      <c r="U83" s="177" t="s">
        <v>1791</v>
      </c>
      <c r="V83" s="177" t="s">
        <v>3980</v>
      </c>
      <c r="W83" s="177" t="s">
        <v>1882</v>
      </c>
      <c r="X83" s="177" t="s">
        <v>930</v>
      </c>
      <c r="Y83" s="177" t="s">
        <v>156</v>
      </c>
      <c r="Z83" s="177" t="s">
        <v>2065</v>
      </c>
      <c r="AA83" s="177" t="s">
        <v>2155</v>
      </c>
      <c r="AB83" s="177" t="s">
        <v>2247</v>
      </c>
      <c r="AC83" s="177" t="s">
        <v>2331</v>
      </c>
      <c r="AD83" s="177" t="s">
        <v>845</v>
      </c>
      <c r="AE83" s="177" t="s">
        <v>2483</v>
      </c>
      <c r="AF83" s="177" t="s">
        <v>2559</v>
      </c>
      <c r="AG83" s="177" t="s">
        <v>2648</v>
      </c>
      <c r="AH83" s="177" t="s">
        <v>1268</v>
      </c>
      <c r="AI83" s="177" t="s">
        <v>2787</v>
      </c>
      <c r="AJ83" s="177" t="s">
        <v>2872</v>
      </c>
      <c r="AK83" s="177" t="s">
        <v>2953</v>
      </c>
      <c r="AL83" s="177" t="s">
        <v>2872</v>
      </c>
      <c r="AM83" s="177" t="s">
        <v>3095</v>
      </c>
      <c r="AN83" s="177" t="s">
        <v>3165</v>
      </c>
      <c r="AO83" s="177" t="s">
        <v>1195</v>
      </c>
      <c r="AP83" s="177" t="s">
        <v>1195</v>
      </c>
      <c r="AQ83" s="177" t="s">
        <v>2953</v>
      </c>
      <c r="AR83" s="177" t="s">
        <v>2559</v>
      </c>
      <c r="AS83" s="177" t="s">
        <v>3512</v>
      </c>
      <c r="AT83" s="177" t="s">
        <v>3599</v>
      </c>
      <c r="AU83" s="177" t="s">
        <v>845</v>
      </c>
      <c r="AV83" s="177" t="s">
        <v>3753</v>
      </c>
      <c r="AW83" s="181" t="str">
        <f>IF('Custom Language and Timezone'!E89&lt;&gt;"",'Custom Language and Timezone'!E89,'Custom Language and Timezone'!C89)</f>
        <v>Group F</v>
      </c>
    </row>
    <row r="84" spans="1:49" x14ac:dyDescent="0.2">
      <c r="A84" s="181">
        <v>83</v>
      </c>
      <c r="B84" s="181" t="s">
        <v>148</v>
      </c>
      <c r="C84" s="181" t="s">
        <v>571</v>
      </c>
      <c r="D84" s="181" t="s">
        <v>662</v>
      </c>
      <c r="E84" s="182" t="s">
        <v>754</v>
      </c>
      <c r="F84" s="182" t="s">
        <v>148</v>
      </c>
      <c r="G84" s="177" t="s">
        <v>3829</v>
      </c>
      <c r="H84" s="177" t="s">
        <v>148</v>
      </c>
      <c r="I84" s="177" t="s">
        <v>1023</v>
      </c>
      <c r="J84" s="177" t="s">
        <v>1106</v>
      </c>
      <c r="K84" s="177" t="s">
        <v>3890</v>
      </c>
      <c r="L84" s="177" t="s">
        <v>1196</v>
      </c>
      <c r="M84" s="177" t="s">
        <v>1269</v>
      </c>
      <c r="N84" s="177" t="s">
        <v>1309</v>
      </c>
      <c r="O84" s="181" t="s">
        <v>148</v>
      </c>
      <c r="P84" s="177" t="s">
        <v>1395</v>
      </c>
      <c r="Q84" s="177" t="s">
        <v>1466</v>
      </c>
      <c r="R84" s="177" t="s">
        <v>148</v>
      </c>
      <c r="S84" s="177" t="s">
        <v>1606</v>
      </c>
      <c r="T84" s="177" t="s">
        <v>1699</v>
      </c>
      <c r="U84" s="177" t="s">
        <v>1792</v>
      </c>
      <c r="V84" s="177" t="s">
        <v>3981</v>
      </c>
      <c r="W84" s="177" t="s">
        <v>1883</v>
      </c>
      <c r="X84" s="177" t="s">
        <v>1961</v>
      </c>
      <c r="Y84" s="177" t="s">
        <v>148</v>
      </c>
      <c r="Z84" s="177" t="s">
        <v>2066</v>
      </c>
      <c r="AA84" s="177" t="s">
        <v>2156</v>
      </c>
      <c r="AB84" s="177" t="s">
        <v>2248</v>
      </c>
      <c r="AC84" s="177" t="s">
        <v>2332</v>
      </c>
      <c r="AD84" s="177" t="s">
        <v>2417</v>
      </c>
      <c r="AE84" s="177" t="s">
        <v>148</v>
      </c>
      <c r="AF84" s="177" t="s">
        <v>148</v>
      </c>
      <c r="AG84" s="177" t="s">
        <v>148</v>
      </c>
      <c r="AH84" s="177" t="s">
        <v>2698</v>
      </c>
      <c r="AI84" s="177" t="s">
        <v>2788</v>
      </c>
      <c r="AJ84" s="177" t="s">
        <v>2873</v>
      </c>
      <c r="AK84" s="177" t="s">
        <v>2954</v>
      </c>
      <c r="AL84" s="177" t="s">
        <v>3019</v>
      </c>
      <c r="AM84" s="177" t="s">
        <v>3096</v>
      </c>
      <c r="AN84" s="177" t="s">
        <v>3166</v>
      </c>
      <c r="AO84" s="177" t="s">
        <v>148</v>
      </c>
      <c r="AP84" s="177" t="s">
        <v>3298</v>
      </c>
      <c r="AQ84" s="177" t="s">
        <v>3353</v>
      </c>
      <c r="AR84" s="177" t="s">
        <v>3421</v>
      </c>
      <c r="AS84" s="177" t="s">
        <v>3513</v>
      </c>
      <c r="AT84" s="177" t="s">
        <v>148</v>
      </c>
      <c r="AU84" s="177" t="s">
        <v>3684</v>
      </c>
      <c r="AV84" s="177" t="s">
        <v>3754</v>
      </c>
      <c r="AW84" s="181" t="str">
        <f>IF('Custom Language and Timezone'!E90&lt;&gt;"",'Custom Language and Timezone'!E90,'Custom Language and Timezone'!C90)</f>
        <v>Win</v>
      </c>
    </row>
    <row r="85" spans="1:49" x14ac:dyDescent="0.2">
      <c r="A85" s="181">
        <v>84</v>
      </c>
      <c r="B85" s="181" t="s">
        <v>149</v>
      </c>
      <c r="C85" s="181" t="s">
        <v>572</v>
      </c>
      <c r="D85" s="181" t="s">
        <v>663</v>
      </c>
      <c r="E85" s="182" t="s">
        <v>755</v>
      </c>
      <c r="F85" s="182" t="s">
        <v>846</v>
      </c>
      <c r="G85" s="177" t="s">
        <v>3830</v>
      </c>
      <c r="H85" s="177" t="s">
        <v>931</v>
      </c>
      <c r="I85" s="177" t="s">
        <v>1024</v>
      </c>
      <c r="J85" s="177" t="s">
        <v>1107</v>
      </c>
      <c r="K85" s="177" t="s">
        <v>3891</v>
      </c>
      <c r="L85" s="177" t="s">
        <v>1197</v>
      </c>
      <c r="M85" s="177" t="s">
        <v>1270</v>
      </c>
      <c r="N85" s="177" t="s">
        <v>1310</v>
      </c>
      <c r="O85" s="181" t="s">
        <v>149</v>
      </c>
      <c r="P85" s="177" t="s">
        <v>1396</v>
      </c>
      <c r="Q85" s="177" t="s">
        <v>1467</v>
      </c>
      <c r="R85" s="177" t="s">
        <v>1555</v>
      </c>
      <c r="S85" s="177" t="s">
        <v>1607</v>
      </c>
      <c r="T85" s="177" t="s">
        <v>1700</v>
      </c>
      <c r="U85" s="177" t="s">
        <v>1793</v>
      </c>
      <c r="V85" s="177" t="s">
        <v>3982</v>
      </c>
      <c r="W85" s="177" t="s">
        <v>1884</v>
      </c>
      <c r="X85" s="177" t="s">
        <v>1962</v>
      </c>
      <c r="Y85" s="177" t="s">
        <v>149</v>
      </c>
      <c r="Z85" s="177" t="s">
        <v>2067</v>
      </c>
      <c r="AA85" s="177" t="s">
        <v>2157</v>
      </c>
      <c r="AB85" s="177" t="s">
        <v>2249</v>
      </c>
      <c r="AC85" s="177" t="s">
        <v>2333</v>
      </c>
      <c r="AD85" s="177" t="s">
        <v>2418</v>
      </c>
      <c r="AE85" s="177" t="s">
        <v>1962</v>
      </c>
      <c r="AF85" s="177" t="s">
        <v>2560</v>
      </c>
      <c r="AG85" s="177" t="s">
        <v>2649</v>
      </c>
      <c r="AH85" s="177" t="s">
        <v>1270</v>
      </c>
      <c r="AI85" s="177" t="s">
        <v>2789</v>
      </c>
      <c r="AJ85" s="177" t="s">
        <v>2874</v>
      </c>
      <c r="AK85" s="177" t="s">
        <v>2955</v>
      </c>
      <c r="AL85" s="177" t="s">
        <v>3020</v>
      </c>
      <c r="AM85" s="177" t="s">
        <v>3097</v>
      </c>
      <c r="AN85" s="177" t="s">
        <v>3167</v>
      </c>
      <c r="AO85" s="177" t="s">
        <v>3243</v>
      </c>
      <c r="AP85" s="177" t="s">
        <v>149</v>
      </c>
      <c r="AQ85" s="177" t="s">
        <v>3354</v>
      </c>
      <c r="AR85" s="177" t="s">
        <v>3422</v>
      </c>
      <c r="AS85" s="177" t="s">
        <v>3514</v>
      </c>
      <c r="AT85" s="177" t="s">
        <v>3600</v>
      </c>
      <c r="AU85" s="177" t="s">
        <v>3685</v>
      </c>
      <c r="AV85" s="177" t="s">
        <v>3755</v>
      </c>
      <c r="AW85" s="181" t="str">
        <f>IF('Custom Language and Timezone'!E91&lt;&gt;"",'Custom Language and Timezone'!E91,'Custom Language and Timezone'!C91)</f>
        <v>Draw</v>
      </c>
    </row>
    <row r="86" spans="1:49" x14ac:dyDescent="0.2">
      <c r="A86" s="181">
        <v>85</v>
      </c>
      <c r="B86" s="181" t="s">
        <v>150</v>
      </c>
      <c r="C86" s="181" t="s">
        <v>573</v>
      </c>
      <c r="D86" s="181" t="s">
        <v>664</v>
      </c>
      <c r="E86" s="182" t="s">
        <v>756</v>
      </c>
      <c r="F86" s="182" t="s">
        <v>847</v>
      </c>
      <c r="G86" s="177" t="s">
        <v>3831</v>
      </c>
      <c r="H86" s="177" t="s">
        <v>932</v>
      </c>
      <c r="I86" s="177" t="s">
        <v>1025</v>
      </c>
      <c r="J86" s="177" t="s">
        <v>1025</v>
      </c>
      <c r="K86" s="177" t="s">
        <v>3892</v>
      </c>
      <c r="L86" s="177" t="s">
        <v>1198</v>
      </c>
      <c r="M86" s="177" t="s">
        <v>1271</v>
      </c>
      <c r="N86" s="177" t="s">
        <v>1311</v>
      </c>
      <c r="O86" s="181" t="s">
        <v>150</v>
      </c>
      <c r="P86" s="177" t="s">
        <v>1397</v>
      </c>
      <c r="Q86" s="177" t="s">
        <v>1468</v>
      </c>
      <c r="R86" s="177" t="s">
        <v>150</v>
      </c>
      <c r="S86" s="177" t="s">
        <v>1608</v>
      </c>
      <c r="T86" s="177" t="s">
        <v>1701</v>
      </c>
      <c r="U86" s="177" t="s">
        <v>1794</v>
      </c>
      <c r="V86" s="177" t="s">
        <v>3983</v>
      </c>
      <c r="W86" s="177" t="s">
        <v>1885</v>
      </c>
      <c r="X86" s="177" t="s">
        <v>1963</v>
      </c>
      <c r="Y86" s="177" t="s">
        <v>1996</v>
      </c>
      <c r="Z86" s="177" t="s">
        <v>2068</v>
      </c>
      <c r="AA86" s="177" t="s">
        <v>2158</v>
      </c>
      <c r="AB86" s="177" t="s">
        <v>2250</v>
      </c>
      <c r="AC86" s="177" t="s">
        <v>2334</v>
      </c>
      <c r="AD86" s="177" t="s">
        <v>2419</v>
      </c>
      <c r="AE86" s="177" t="s">
        <v>1963</v>
      </c>
      <c r="AF86" s="177" t="s">
        <v>150</v>
      </c>
      <c r="AG86" s="177" t="s">
        <v>2650</v>
      </c>
      <c r="AH86" s="177" t="s">
        <v>2699</v>
      </c>
      <c r="AI86" s="177" t="s">
        <v>2790</v>
      </c>
      <c r="AJ86" s="177" t="s">
        <v>2875</v>
      </c>
      <c r="AK86" s="177" t="s">
        <v>2956</v>
      </c>
      <c r="AL86" s="177" t="s">
        <v>3021</v>
      </c>
      <c r="AM86" s="177" t="s">
        <v>3098</v>
      </c>
      <c r="AN86" s="177" t="s">
        <v>3168</v>
      </c>
      <c r="AO86" s="177" t="s">
        <v>3244</v>
      </c>
      <c r="AP86" s="177" t="s">
        <v>150</v>
      </c>
      <c r="AQ86" s="177" t="s">
        <v>2956</v>
      </c>
      <c r="AR86" s="177" t="s">
        <v>3423</v>
      </c>
      <c r="AS86" s="177" t="s">
        <v>3515</v>
      </c>
      <c r="AT86" s="177" t="s">
        <v>3601</v>
      </c>
      <c r="AU86" s="177" t="s">
        <v>3686</v>
      </c>
      <c r="AV86" s="177" t="s">
        <v>3756</v>
      </c>
      <c r="AW86" s="181" t="str">
        <f>IF('Custom Language and Timezone'!E92&lt;&gt;"",'Custom Language and Timezone'!E92,'Custom Language and Timezone'!C92)</f>
        <v>Lose</v>
      </c>
    </row>
    <row r="87" spans="1:49" x14ac:dyDescent="0.2">
      <c r="A87" s="181">
        <v>86</v>
      </c>
      <c r="B87" s="181" t="s">
        <v>445</v>
      </c>
      <c r="C87" s="181" t="s">
        <v>574</v>
      </c>
      <c r="D87" s="181" t="s">
        <v>665</v>
      </c>
      <c r="E87" s="182" t="s">
        <v>757</v>
      </c>
      <c r="F87" s="182" t="s">
        <v>848</v>
      </c>
      <c r="G87" s="177" t="s">
        <v>3099</v>
      </c>
      <c r="H87" s="177" t="s">
        <v>933</v>
      </c>
      <c r="I87" s="177" t="s">
        <v>1026</v>
      </c>
      <c r="J87" s="177" t="s">
        <v>1108</v>
      </c>
      <c r="K87" s="177" t="s">
        <v>3893</v>
      </c>
      <c r="L87" s="177" t="s">
        <v>1199</v>
      </c>
      <c r="M87" s="177" t="s">
        <v>445</v>
      </c>
      <c r="N87" s="177" t="s">
        <v>1312</v>
      </c>
      <c r="O87" s="181" t="s">
        <v>445</v>
      </c>
      <c r="P87" s="177" t="s">
        <v>1398</v>
      </c>
      <c r="Q87" s="177" t="s">
        <v>1469</v>
      </c>
      <c r="R87" s="177" t="s">
        <v>1556</v>
      </c>
      <c r="S87" s="177" t="s">
        <v>1609</v>
      </c>
      <c r="T87" s="177" t="s">
        <v>1702</v>
      </c>
      <c r="U87" s="177" t="s">
        <v>1795</v>
      </c>
      <c r="V87" s="177" t="s">
        <v>3984</v>
      </c>
      <c r="W87" s="177" t="s">
        <v>22</v>
      </c>
      <c r="X87" s="177" t="s">
        <v>1964</v>
      </c>
      <c r="Y87" s="177" t="s">
        <v>1997</v>
      </c>
      <c r="Z87" s="177" t="s">
        <v>933</v>
      </c>
      <c r="AA87" s="177" t="s">
        <v>2159</v>
      </c>
      <c r="AB87" s="177" t="s">
        <v>2251</v>
      </c>
      <c r="AC87" s="177" t="s">
        <v>2335</v>
      </c>
      <c r="AD87" s="177" t="s">
        <v>848</v>
      </c>
      <c r="AE87" s="177" t="s">
        <v>1964</v>
      </c>
      <c r="AF87" s="177" t="s">
        <v>2561</v>
      </c>
      <c r="AG87" s="177" t="s">
        <v>2651</v>
      </c>
      <c r="AH87" s="177" t="s">
        <v>2700</v>
      </c>
      <c r="AI87" s="177" t="s">
        <v>2791</v>
      </c>
      <c r="AJ87" s="177" t="s">
        <v>2876</v>
      </c>
      <c r="AK87" s="177" t="s">
        <v>2957</v>
      </c>
      <c r="AL87" s="177" t="s">
        <v>3022</v>
      </c>
      <c r="AM87" s="177" t="s">
        <v>3099</v>
      </c>
      <c r="AN87" s="177" t="s">
        <v>3169</v>
      </c>
      <c r="AO87" s="177" t="s">
        <v>3245</v>
      </c>
      <c r="AP87" s="177" t="s">
        <v>1199</v>
      </c>
      <c r="AQ87" s="177" t="s">
        <v>3355</v>
      </c>
      <c r="AR87" s="177" t="s">
        <v>3424</v>
      </c>
      <c r="AS87" s="177" t="s">
        <v>3516</v>
      </c>
      <c r="AT87" s="177" t="s">
        <v>3602</v>
      </c>
      <c r="AU87" s="177" t="s">
        <v>3099</v>
      </c>
      <c r="AV87" s="177" t="s">
        <v>3757</v>
      </c>
      <c r="AW87" s="181" t="str">
        <f>IF('Custom Language and Timezone'!E93&lt;&gt;"",'Custom Language and Timezone'!E93,'Custom Language and Timezone'!C93)</f>
        <v>For</v>
      </c>
    </row>
    <row r="88" spans="1:49" x14ac:dyDescent="0.2">
      <c r="A88" s="181">
        <v>87</v>
      </c>
      <c r="B88" s="181" t="s">
        <v>446</v>
      </c>
      <c r="C88" s="181" t="s">
        <v>575</v>
      </c>
      <c r="D88" s="181" t="s">
        <v>666</v>
      </c>
      <c r="E88" s="182" t="s">
        <v>758</v>
      </c>
      <c r="F88" s="182" t="s">
        <v>849</v>
      </c>
      <c r="G88" s="177" t="s">
        <v>3832</v>
      </c>
      <c r="H88" s="177" t="s">
        <v>934</v>
      </c>
      <c r="I88" s="177" t="s">
        <v>1027</v>
      </c>
      <c r="J88" s="177" t="s">
        <v>1109</v>
      </c>
      <c r="K88" s="177" t="s">
        <v>3246</v>
      </c>
      <c r="L88" s="177" t="s">
        <v>1200</v>
      </c>
      <c r="M88" s="177" t="s">
        <v>1272</v>
      </c>
      <c r="N88" s="177" t="s">
        <v>1313</v>
      </c>
      <c r="O88" s="181" t="s">
        <v>446</v>
      </c>
      <c r="P88" s="177" t="s">
        <v>1399</v>
      </c>
      <c r="Q88" s="177" t="s">
        <v>1470</v>
      </c>
      <c r="R88" s="177" t="s">
        <v>1557</v>
      </c>
      <c r="S88" s="177" t="s">
        <v>1610</v>
      </c>
      <c r="T88" s="177" t="s">
        <v>1703</v>
      </c>
      <c r="U88" s="177" t="s">
        <v>1796</v>
      </c>
      <c r="V88" s="177" t="s">
        <v>3985</v>
      </c>
      <c r="W88" s="177" t="s">
        <v>1886</v>
      </c>
      <c r="X88" s="177" t="s">
        <v>1965</v>
      </c>
      <c r="Y88" s="177" t="s">
        <v>446</v>
      </c>
      <c r="Z88" s="177" t="s">
        <v>2069</v>
      </c>
      <c r="AA88" s="177" t="s">
        <v>2160</v>
      </c>
      <c r="AB88" s="177" t="s">
        <v>2252</v>
      </c>
      <c r="AC88" s="177" t="s">
        <v>2336</v>
      </c>
      <c r="AD88" s="177" t="s">
        <v>2420</v>
      </c>
      <c r="AE88" s="177" t="s">
        <v>1965</v>
      </c>
      <c r="AF88" s="177" t="s">
        <v>2562</v>
      </c>
      <c r="AG88" s="177" t="s">
        <v>2652</v>
      </c>
      <c r="AH88" s="177" t="s">
        <v>2701</v>
      </c>
      <c r="AI88" s="177" t="s">
        <v>2792</v>
      </c>
      <c r="AJ88" s="177" t="s">
        <v>2877</v>
      </c>
      <c r="AK88" s="177" t="s">
        <v>2958</v>
      </c>
      <c r="AL88" s="177" t="s">
        <v>3023</v>
      </c>
      <c r="AM88" s="177" t="s">
        <v>2420</v>
      </c>
      <c r="AN88" s="177" t="s">
        <v>3170</v>
      </c>
      <c r="AO88" s="177" t="s">
        <v>3246</v>
      </c>
      <c r="AP88" s="177" t="s">
        <v>3246</v>
      </c>
      <c r="AQ88" s="177" t="s">
        <v>3356</v>
      </c>
      <c r="AR88" s="177" t="s">
        <v>3425</v>
      </c>
      <c r="AS88" s="177" t="s">
        <v>3517</v>
      </c>
      <c r="AT88" s="177" t="s">
        <v>3603</v>
      </c>
      <c r="AU88" s="177" t="s">
        <v>3687</v>
      </c>
      <c r="AV88" s="177" t="s">
        <v>3758</v>
      </c>
      <c r="AW88" s="181" t="str">
        <f>IF('Custom Language and Timezone'!E94&lt;&gt;"",'Custom Language and Timezone'!E94,'Custom Language and Timezone'!C94)</f>
        <v>Against</v>
      </c>
    </row>
    <row r="89" spans="1:49" x14ac:dyDescent="0.2">
      <c r="A89" s="181">
        <v>88</v>
      </c>
      <c r="B89" s="181" t="s">
        <v>91</v>
      </c>
      <c r="C89" s="181" t="s">
        <v>576</v>
      </c>
      <c r="D89" s="181" t="s">
        <v>667</v>
      </c>
      <c r="E89" s="182" t="s">
        <v>759</v>
      </c>
      <c r="F89" s="182" t="s">
        <v>850</v>
      </c>
      <c r="G89" s="177" t="s">
        <v>3833</v>
      </c>
      <c r="H89" s="177" t="s">
        <v>935</v>
      </c>
      <c r="I89" s="177" t="s">
        <v>1028</v>
      </c>
      <c r="J89" s="177" t="s">
        <v>1110</v>
      </c>
      <c r="K89" s="177" t="s">
        <v>3247</v>
      </c>
      <c r="L89" s="177" t="s">
        <v>1201</v>
      </c>
      <c r="M89" s="177" t="s">
        <v>91</v>
      </c>
      <c r="N89" s="177" t="s">
        <v>1314</v>
      </c>
      <c r="O89" s="181" t="s">
        <v>91</v>
      </c>
      <c r="P89" s="177" t="s">
        <v>1348</v>
      </c>
      <c r="Q89" s="177" t="s">
        <v>1471</v>
      </c>
      <c r="R89" s="177" t="s">
        <v>1558</v>
      </c>
      <c r="S89" s="177" t="s">
        <v>1611</v>
      </c>
      <c r="T89" s="177" t="s">
        <v>1704</v>
      </c>
      <c r="U89" s="177" t="s">
        <v>1797</v>
      </c>
      <c r="V89" s="177" t="s">
        <v>3986</v>
      </c>
      <c r="W89" s="177" t="s">
        <v>1887</v>
      </c>
      <c r="X89" s="177" t="s">
        <v>1966</v>
      </c>
      <c r="Y89" s="177" t="s">
        <v>91</v>
      </c>
      <c r="Z89" s="177" t="s">
        <v>2070</v>
      </c>
      <c r="AA89" s="177" t="s">
        <v>2161</v>
      </c>
      <c r="AB89" s="177" t="s">
        <v>2253</v>
      </c>
      <c r="AC89" s="177" t="s">
        <v>2285</v>
      </c>
      <c r="AD89" s="177" t="s">
        <v>2421</v>
      </c>
      <c r="AE89" s="177" t="s">
        <v>2484</v>
      </c>
      <c r="AF89" s="177" t="s">
        <v>2070</v>
      </c>
      <c r="AG89" s="177" t="s">
        <v>2600</v>
      </c>
      <c r="AH89" s="177" t="s">
        <v>2702</v>
      </c>
      <c r="AI89" s="177" t="s">
        <v>2793</v>
      </c>
      <c r="AJ89" s="177" t="s">
        <v>2878</v>
      </c>
      <c r="AK89" s="177" t="s">
        <v>2959</v>
      </c>
      <c r="AL89" s="177" t="s">
        <v>3024</v>
      </c>
      <c r="AM89" s="177" t="s">
        <v>850</v>
      </c>
      <c r="AN89" s="177" t="s">
        <v>3171</v>
      </c>
      <c r="AO89" s="177" t="s">
        <v>3247</v>
      </c>
      <c r="AP89" s="177" t="s">
        <v>3299</v>
      </c>
      <c r="AQ89" s="177" t="s">
        <v>3357</v>
      </c>
      <c r="AR89" s="177" t="s">
        <v>3426</v>
      </c>
      <c r="AS89" s="177" t="s">
        <v>3518</v>
      </c>
      <c r="AT89" s="177" t="s">
        <v>3604</v>
      </c>
      <c r="AU89" s="177" t="s">
        <v>3688</v>
      </c>
      <c r="AV89" s="177" t="s">
        <v>3759</v>
      </c>
      <c r="AW89" s="181" t="str">
        <f>IF('Custom Language and Timezone'!E95&lt;&gt;"",'Custom Language and Timezone'!E95,'Custom Language and Timezone'!C95)</f>
        <v>Points</v>
      </c>
    </row>
    <row r="90" spans="1:49" x14ac:dyDescent="0.2">
      <c r="A90" s="181">
        <v>89</v>
      </c>
      <c r="B90" s="181" t="s">
        <v>463</v>
      </c>
      <c r="C90" s="181" t="s">
        <v>577</v>
      </c>
      <c r="D90" s="181" t="s">
        <v>463</v>
      </c>
      <c r="E90" s="182" t="s">
        <v>760</v>
      </c>
      <c r="F90" s="182" t="s">
        <v>463</v>
      </c>
      <c r="G90" s="177" t="s">
        <v>3834</v>
      </c>
      <c r="H90" s="177" t="s">
        <v>936</v>
      </c>
      <c r="I90" s="177" t="s">
        <v>1029</v>
      </c>
      <c r="J90" s="177" t="s">
        <v>1111</v>
      </c>
      <c r="K90" s="177" t="s">
        <v>463</v>
      </c>
      <c r="L90" s="177" t="s">
        <v>1202</v>
      </c>
      <c r="M90" s="177" t="s">
        <v>1273</v>
      </c>
      <c r="N90" s="177" t="s">
        <v>936</v>
      </c>
      <c r="O90" s="181" t="s">
        <v>463</v>
      </c>
      <c r="P90" s="177" t="s">
        <v>463</v>
      </c>
      <c r="Q90" s="177" t="s">
        <v>1472</v>
      </c>
      <c r="R90" s="177" t="s">
        <v>463</v>
      </c>
      <c r="S90" s="177" t="s">
        <v>1612</v>
      </c>
      <c r="T90" s="177" t="s">
        <v>1705</v>
      </c>
      <c r="U90" s="177" t="s">
        <v>1798</v>
      </c>
      <c r="V90" s="177" t="s">
        <v>3987</v>
      </c>
      <c r="W90" s="177" t="s">
        <v>1888</v>
      </c>
      <c r="X90" s="177" t="s">
        <v>463</v>
      </c>
      <c r="Y90" s="177" t="s">
        <v>463</v>
      </c>
      <c r="Z90" s="177" t="s">
        <v>463</v>
      </c>
      <c r="AA90" s="177" t="s">
        <v>2162</v>
      </c>
      <c r="AB90" s="177" t="s">
        <v>2254</v>
      </c>
      <c r="AC90" s="177" t="s">
        <v>2337</v>
      </c>
      <c r="AD90" s="177" t="s">
        <v>2422</v>
      </c>
      <c r="AE90" s="177" t="s">
        <v>463</v>
      </c>
      <c r="AF90" s="177" t="s">
        <v>2563</v>
      </c>
      <c r="AG90" s="177" t="s">
        <v>2653</v>
      </c>
      <c r="AH90" s="177" t="s">
        <v>463</v>
      </c>
      <c r="AI90" s="177" t="s">
        <v>2794</v>
      </c>
      <c r="AJ90" s="177" t="s">
        <v>2879</v>
      </c>
      <c r="AK90" s="177" t="s">
        <v>2960</v>
      </c>
      <c r="AL90" s="177" t="s">
        <v>3025</v>
      </c>
      <c r="AM90" s="177" t="s">
        <v>3100</v>
      </c>
      <c r="AN90" s="177" t="s">
        <v>3172</v>
      </c>
      <c r="AO90" s="177" t="s">
        <v>463</v>
      </c>
      <c r="AP90" s="177" t="s">
        <v>463</v>
      </c>
      <c r="AQ90" s="177" t="s">
        <v>3358</v>
      </c>
      <c r="AR90" s="177" t="s">
        <v>463</v>
      </c>
      <c r="AS90" s="177" t="s">
        <v>3519</v>
      </c>
      <c r="AT90" s="177" t="s">
        <v>3605</v>
      </c>
      <c r="AU90" s="177" t="s">
        <v>3689</v>
      </c>
      <c r="AV90" s="177" t="s">
        <v>463</v>
      </c>
      <c r="AW90" s="181" t="str">
        <f>IF('Custom Language and Timezone'!E96&lt;&gt;"",'Custom Language and Timezone'!E96,'Custom Language and Timezone'!C96)</f>
        <v>Knock Out Rounds</v>
      </c>
    </row>
    <row r="91" spans="1:49" x14ac:dyDescent="0.2">
      <c r="A91" s="181">
        <v>90</v>
      </c>
      <c r="B91" s="181" t="s">
        <v>447</v>
      </c>
      <c r="C91" s="181" t="s">
        <v>578</v>
      </c>
      <c r="D91" s="181" t="s">
        <v>668</v>
      </c>
      <c r="E91" s="182" t="s">
        <v>761</v>
      </c>
      <c r="F91" s="182" t="s">
        <v>851</v>
      </c>
      <c r="G91" s="177" t="s">
        <v>3835</v>
      </c>
      <c r="H91" s="177" t="s">
        <v>937</v>
      </c>
      <c r="I91" s="177" t="s">
        <v>1030</v>
      </c>
      <c r="J91" s="177" t="s">
        <v>1112</v>
      </c>
      <c r="K91" s="177" t="s">
        <v>3894</v>
      </c>
      <c r="L91" s="177" t="s">
        <v>1203</v>
      </c>
      <c r="M91" s="177" t="s">
        <v>1274</v>
      </c>
      <c r="N91" s="177" t="s">
        <v>1315</v>
      </c>
      <c r="O91" s="181" t="s">
        <v>447</v>
      </c>
      <c r="P91" s="177" t="s">
        <v>1400</v>
      </c>
      <c r="Q91" s="177" t="s">
        <v>1473</v>
      </c>
      <c r="R91" s="177" t="s">
        <v>1559</v>
      </c>
      <c r="S91" s="177" t="s">
        <v>1613</v>
      </c>
      <c r="T91" s="177" t="s">
        <v>1706</v>
      </c>
      <c r="U91" s="177" t="s">
        <v>1799</v>
      </c>
      <c r="V91" s="177" t="s">
        <v>3988</v>
      </c>
      <c r="W91" s="177" t="s">
        <v>1889</v>
      </c>
      <c r="X91" s="177" t="s">
        <v>1967</v>
      </c>
      <c r="Y91" s="177" t="s">
        <v>1998</v>
      </c>
      <c r="Z91" s="177" t="s">
        <v>2071</v>
      </c>
      <c r="AA91" s="177" t="s">
        <v>2163</v>
      </c>
      <c r="AB91" s="177" t="s">
        <v>2255</v>
      </c>
      <c r="AC91" s="177" t="s">
        <v>2338</v>
      </c>
      <c r="AD91" s="177" t="s">
        <v>2423</v>
      </c>
      <c r="AE91" s="177" t="s">
        <v>2485</v>
      </c>
      <c r="AF91" s="177" t="s">
        <v>2564</v>
      </c>
      <c r="AG91" s="177" t="s">
        <v>2654</v>
      </c>
      <c r="AH91" s="177" t="s">
        <v>1274</v>
      </c>
      <c r="AI91" s="177" t="s">
        <v>2795</v>
      </c>
      <c r="AJ91" s="177" t="s">
        <v>2880</v>
      </c>
      <c r="AK91" s="177" t="s">
        <v>2961</v>
      </c>
      <c r="AL91" s="177" t="s">
        <v>3026</v>
      </c>
      <c r="AM91" s="177" t="s">
        <v>3101</v>
      </c>
      <c r="AN91" s="177" t="s">
        <v>3173</v>
      </c>
      <c r="AO91" s="177" t="s">
        <v>3248</v>
      </c>
      <c r="AP91" s="177" t="s">
        <v>3300</v>
      </c>
      <c r="AQ91" s="177" t="s">
        <v>3359</v>
      </c>
      <c r="AR91" s="177" t="s">
        <v>3427</v>
      </c>
      <c r="AS91" s="177" t="s">
        <v>3520</v>
      </c>
      <c r="AT91" s="177" t="s">
        <v>3606</v>
      </c>
      <c r="AU91" s="177" t="s">
        <v>3690</v>
      </c>
      <c r="AV91" s="177" t="s">
        <v>3760</v>
      </c>
      <c r="AW91" s="181" t="str">
        <f>IF('Custom Language and Timezone'!E97&lt;&gt;"",'Custom Language and Timezone'!E97,'Custom Language and Timezone'!C97)</f>
        <v>Group B/E/F 3rd Place</v>
      </c>
    </row>
    <row r="92" spans="1:49" x14ac:dyDescent="0.2">
      <c r="A92" s="181">
        <v>91</v>
      </c>
      <c r="B92" s="181" t="s">
        <v>448</v>
      </c>
      <c r="C92" s="181" t="s">
        <v>579</v>
      </c>
      <c r="D92" s="181" t="s">
        <v>669</v>
      </c>
      <c r="E92" s="182" t="s">
        <v>762</v>
      </c>
      <c r="F92" s="182" t="s">
        <v>852</v>
      </c>
      <c r="G92" s="177" t="s">
        <v>3836</v>
      </c>
      <c r="H92" s="177" t="s">
        <v>938</v>
      </c>
      <c r="I92" s="177" t="s">
        <v>1031</v>
      </c>
      <c r="J92" s="177" t="s">
        <v>1113</v>
      </c>
      <c r="K92" s="177" t="s">
        <v>3895</v>
      </c>
      <c r="L92" s="177" t="s">
        <v>1204</v>
      </c>
      <c r="M92" s="177" t="s">
        <v>1275</v>
      </c>
      <c r="N92" s="177" t="s">
        <v>1316</v>
      </c>
      <c r="O92" s="181" t="s">
        <v>448</v>
      </c>
      <c r="P92" s="177" t="s">
        <v>1401</v>
      </c>
      <c r="Q92" s="177" t="s">
        <v>1474</v>
      </c>
      <c r="R92" s="177" t="s">
        <v>1560</v>
      </c>
      <c r="S92" s="177" t="s">
        <v>1614</v>
      </c>
      <c r="T92" s="177" t="s">
        <v>1707</v>
      </c>
      <c r="U92" s="177" t="s">
        <v>1800</v>
      </c>
      <c r="V92" s="177" t="s">
        <v>3989</v>
      </c>
      <c r="W92" s="177" t="s">
        <v>1890</v>
      </c>
      <c r="X92" s="177" t="s">
        <v>1968</v>
      </c>
      <c r="Y92" s="177" t="s">
        <v>1999</v>
      </c>
      <c r="Z92" s="177" t="s">
        <v>2072</v>
      </c>
      <c r="AA92" s="177" t="s">
        <v>2164</v>
      </c>
      <c r="AB92" s="177" t="s">
        <v>2256</v>
      </c>
      <c r="AC92" s="177" t="s">
        <v>2339</v>
      </c>
      <c r="AD92" s="177" t="s">
        <v>2424</v>
      </c>
      <c r="AE92" s="177" t="s">
        <v>2486</v>
      </c>
      <c r="AF92" s="177" t="s">
        <v>2565</v>
      </c>
      <c r="AG92" s="177" t="s">
        <v>2655</v>
      </c>
      <c r="AH92" s="177" t="s">
        <v>2703</v>
      </c>
      <c r="AI92" s="177" t="s">
        <v>2796</v>
      </c>
      <c r="AJ92" s="177" t="s">
        <v>2881</v>
      </c>
      <c r="AK92" s="177" t="s">
        <v>2962</v>
      </c>
      <c r="AL92" s="177" t="s">
        <v>3027</v>
      </c>
      <c r="AM92" s="177" t="s">
        <v>3102</v>
      </c>
      <c r="AN92" s="177" t="s">
        <v>3174</v>
      </c>
      <c r="AO92" s="177" t="s">
        <v>3249</v>
      </c>
      <c r="AP92" s="177" t="s">
        <v>3301</v>
      </c>
      <c r="AQ92" s="177" t="s">
        <v>3360</v>
      </c>
      <c r="AR92" s="177" t="s">
        <v>3428</v>
      </c>
      <c r="AS92" s="177" t="s">
        <v>3521</v>
      </c>
      <c r="AT92" s="177" t="s">
        <v>3607</v>
      </c>
      <c r="AU92" s="177" t="s">
        <v>3691</v>
      </c>
      <c r="AV92" s="177" t="s">
        <v>3761</v>
      </c>
      <c r="AW92" s="181" t="str">
        <f>IF('Custom Language and Timezone'!E98&lt;&gt;"",'Custom Language and Timezone'!E98,'Custom Language and Timezone'!C98)</f>
        <v>Group A/C/D 3rd Place</v>
      </c>
    </row>
    <row r="93" spans="1:49" x14ac:dyDescent="0.2">
      <c r="A93" s="181">
        <v>92</v>
      </c>
      <c r="B93" s="181" t="s">
        <v>449</v>
      </c>
      <c r="C93" s="181" t="s">
        <v>580</v>
      </c>
      <c r="D93" s="181" t="s">
        <v>670</v>
      </c>
      <c r="E93" s="182" t="s">
        <v>763</v>
      </c>
      <c r="F93" s="182" t="s">
        <v>853</v>
      </c>
      <c r="G93" s="177" t="s">
        <v>3837</v>
      </c>
      <c r="H93" s="177" t="s">
        <v>939</v>
      </c>
      <c r="I93" s="177" t="s">
        <v>1032</v>
      </c>
      <c r="J93" s="177" t="s">
        <v>1114</v>
      </c>
      <c r="K93" s="177" t="s">
        <v>3896</v>
      </c>
      <c r="L93" s="177" t="s">
        <v>1205</v>
      </c>
      <c r="M93" s="177" t="s">
        <v>1276</v>
      </c>
      <c r="N93" s="177" t="s">
        <v>1317</v>
      </c>
      <c r="O93" s="181" t="s">
        <v>449</v>
      </c>
      <c r="P93" s="177" t="s">
        <v>1402</v>
      </c>
      <c r="Q93" s="177" t="s">
        <v>1475</v>
      </c>
      <c r="R93" s="177" t="s">
        <v>1561</v>
      </c>
      <c r="S93" s="177" t="s">
        <v>1615</v>
      </c>
      <c r="T93" s="177" t="s">
        <v>1708</v>
      </c>
      <c r="U93" s="177" t="s">
        <v>1801</v>
      </c>
      <c r="V93" s="177" t="s">
        <v>3990</v>
      </c>
      <c r="W93" s="177" t="s">
        <v>1891</v>
      </c>
      <c r="X93" s="177" t="s">
        <v>1969</v>
      </c>
      <c r="Y93" s="177" t="s">
        <v>1276</v>
      </c>
      <c r="Z93" s="177" t="s">
        <v>2073</v>
      </c>
      <c r="AA93" s="177" t="s">
        <v>2165</v>
      </c>
      <c r="AB93" s="177" t="s">
        <v>2257</v>
      </c>
      <c r="AC93" s="177" t="s">
        <v>2340</v>
      </c>
      <c r="AD93" s="177" t="s">
        <v>2425</v>
      </c>
      <c r="AE93" s="177" t="s">
        <v>2487</v>
      </c>
      <c r="AF93" s="177" t="s">
        <v>2566</v>
      </c>
      <c r="AG93" s="177" t="s">
        <v>2656</v>
      </c>
      <c r="AH93" s="177" t="s">
        <v>2704</v>
      </c>
      <c r="AI93" s="177" t="s">
        <v>2797</v>
      </c>
      <c r="AJ93" s="177" t="s">
        <v>2882</v>
      </c>
      <c r="AK93" s="177" t="s">
        <v>2963</v>
      </c>
      <c r="AL93" s="177" t="s">
        <v>3028</v>
      </c>
      <c r="AM93" s="177" t="s">
        <v>3103</v>
      </c>
      <c r="AN93" s="177" t="s">
        <v>3175</v>
      </c>
      <c r="AO93" s="177" t="s">
        <v>3250</v>
      </c>
      <c r="AP93" s="177" t="s">
        <v>3302</v>
      </c>
      <c r="AQ93" s="177" t="s">
        <v>3361</v>
      </c>
      <c r="AR93" s="177" t="s">
        <v>3429</v>
      </c>
      <c r="AS93" s="177" t="s">
        <v>3522</v>
      </c>
      <c r="AT93" s="177" t="s">
        <v>3608</v>
      </c>
      <c r="AU93" s="177" t="s">
        <v>3692</v>
      </c>
      <c r="AV93" s="177" t="s">
        <v>3762</v>
      </c>
      <c r="AW93" s="181" t="str">
        <f>IF('Custom Language and Timezone'!E99&lt;&gt;"",'Custom Language and Timezone'!E99,'Custom Language and Timezone'!C99)</f>
        <v>Group A/B/F 3rd Place</v>
      </c>
    </row>
    <row r="94" spans="1:49" x14ac:dyDescent="0.2">
      <c r="A94" s="181">
        <v>93</v>
      </c>
      <c r="B94" s="181" t="s">
        <v>450</v>
      </c>
      <c r="C94" s="181" t="s">
        <v>581</v>
      </c>
      <c r="D94" s="181" t="s">
        <v>671</v>
      </c>
      <c r="E94" s="182" t="s">
        <v>764</v>
      </c>
      <c r="F94" s="182" t="s">
        <v>854</v>
      </c>
      <c r="G94" s="177" t="s">
        <v>3838</v>
      </c>
      <c r="H94" s="177" t="s">
        <v>940</v>
      </c>
      <c r="I94" s="177" t="s">
        <v>1033</v>
      </c>
      <c r="J94" s="177" t="s">
        <v>1115</v>
      </c>
      <c r="K94" s="177" t="s">
        <v>3897</v>
      </c>
      <c r="L94" s="177" t="s">
        <v>1206</v>
      </c>
      <c r="M94" s="177" t="s">
        <v>1277</v>
      </c>
      <c r="N94" s="177" t="s">
        <v>1318</v>
      </c>
      <c r="O94" s="181" t="s">
        <v>450</v>
      </c>
      <c r="P94" s="177" t="s">
        <v>1403</v>
      </c>
      <c r="Q94" s="177" t="s">
        <v>1476</v>
      </c>
      <c r="R94" s="177" t="s">
        <v>1562</v>
      </c>
      <c r="S94" s="177" t="s">
        <v>1616</v>
      </c>
      <c r="T94" s="177" t="s">
        <v>1709</v>
      </c>
      <c r="U94" s="177" t="s">
        <v>1802</v>
      </c>
      <c r="V94" s="177" t="s">
        <v>3991</v>
      </c>
      <c r="W94" s="177" t="s">
        <v>1892</v>
      </c>
      <c r="X94" s="177" t="s">
        <v>1970</v>
      </c>
      <c r="Y94" s="177" t="s">
        <v>2000</v>
      </c>
      <c r="Z94" s="177" t="s">
        <v>2074</v>
      </c>
      <c r="AA94" s="177" t="s">
        <v>2166</v>
      </c>
      <c r="AB94" s="177" t="s">
        <v>2258</v>
      </c>
      <c r="AC94" s="177" t="s">
        <v>2341</v>
      </c>
      <c r="AD94" s="177" t="s">
        <v>2426</v>
      </c>
      <c r="AE94" s="177" t="s">
        <v>2488</v>
      </c>
      <c r="AF94" s="177" t="s">
        <v>2567</v>
      </c>
      <c r="AG94" s="177" t="s">
        <v>2657</v>
      </c>
      <c r="AH94" s="177" t="s">
        <v>2705</v>
      </c>
      <c r="AI94" s="177" t="s">
        <v>2798</v>
      </c>
      <c r="AJ94" s="177" t="s">
        <v>2883</v>
      </c>
      <c r="AK94" s="177" t="s">
        <v>2964</v>
      </c>
      <c r="AL94" s="177" t="s">
        <v>3029</v>
      </c>
      <c r="AM94" s="177" t="s">
        <v>3104</v>
      </c>
      <c r="AN94" s="177" t="s">
        <v>3176</v>
      </c>
      <c r="AO94" s="177" t="s">
        <v>3251</v>
      </c>
      <c r="AP94" s="177" t="s">
        <v>3303</v>
      </c>
      <c r="AQ94" s="177" t="s">
        <v>3362</v>
      </c>
      <c r="AR94" s="177" t="s">
        <v>3430</v>
      </c>
      <c r="AS94" s="177" t="s">
        <v>3523</v>
      </c>
      <c r="AT94" s="177" t="s">
        <v>3609</v>
      </c>
      <c r="AU94" s="177" t="s">
        <v>3693</v>
      </c>
      <c r="AV94" s="177" t="s">
        <v>3763</v>
      </c>
      <c r="AW94" s="181" t="str">
        <f>IF('Custom Language and Timezone'!E100&lt;&gt;"",'Custom Language and Timezone'!E100,'Custom Language and Timezone'!C100)</f>
        <v>Group C/D/E 3rd Place</v>
      </c>
    </row>
    <row r="95" spans="1:49" x14ac:dyDescent="0.2">
      <c r="A95" s="181">
        <v>94</v>
      </c>
      <c r="B95" s="181" t="s">
        <v>464</v>
      </c>
      <c r="C95" s="181" t="s">
        <v>582</v>
      </c>
      <c r="D95" s="181" t="s">
        <v>672</v>
      </c>
      <c r="E95" s="182" t="s">
        <v>765</v>
      </c>
      <c r="F95" s="182" t="s">
        <v>855</v>
      </c>
      <c r="G95" s="177" t="s">
        <v>3839</v>
      </c>
      <c r="H95" s="177" t="s">
        <v>941</v>
      </c>
      <c r="I95" s="177" t="s">
        <v>1034</v>
      </c>
      <c r="J95" s="177" t="s">
        <v>1116</v>
      </c>
      <c r="K95" s="177" t="s">
        <v>3898</v>
      </c>
      <c r="L95" s="177" t="s">
        <v>1207</v>
      </c>
      <c r="M95" s="177" t="s">
        <v>1278</v>
      </c>
      <c r="N95" s="177" t="s">
        <v>1319</v>
      </c>
      <c r="O95" s="181" t="s">
        <v>464</v>
      </c>
      <c r="P95" s="177" t="s">
        <v>1404</v>
      </c>
      <c r="Q95" s="177" t="s">
        <v>1477</v>
      </c>
      <c r="R95" s="177" t="s">
        <v>1563</v>
      </c>
      <c r="S95" s="177" t="s">
        <v>1617</v>
      </c>
      <c r="T95" s="177" t="s">
        <v>1710</v>
      </c>
      <c r="U95" s="177" t="s">
        <v>1803</v>
      </c>
      <c r="V95" s="177" t="s">
        <v>3992</v>
      </c>
      <c r="W95" s="177" t="s">
        <v>1893</v>
      </c>
      <c r="X95" s="177" t="s">
        <v>1971</v>
      </c>
      <c r="Y95" s="177" t="s">
        <v>2001</v>
      </c>
      <c r="Z95" s="177" t="s">
        <v>2075</v>
      </c>
      <c r="AA95" s="177" t="s">
        <v>2167</v>
      </c>
      <c r="AB95" s="177" t="s">
        <v>2259</v>
      </c>
      <c r="AC95" s="177" t="s">
        <v>2342</v>
      </c>
      <c r="AD95" s="177" t="s">
        <v>2427</v>
      </c>
      <c r="AE95" s="177" t="s">
        <v>2489</v>
      </c>
      <c r="AF95" s="177" t="s">
        <v>2568</v>
      </c>
      <c r="AG95" s="177" t="s">
        <v>2658</v>
      </c>
      <c r="AH95" s="177" t="s">
        <v>2706</v>
      </c>
      <c r="AI95" s="177" t="s">
        <v>2799</v>
      </c>
      <c r="AJ95" s="177" t="s">
        <v>2884</v>
      </c>
      <c r="AK95" s="177" t="s">
        <v>2965</v>
      </c>
      <c r="AL95" s="177" t="s">
        <v>3030</v>
      </c>
      <c r="AM95" s="177" t="s">
        <v>3105</v>
      </c>
      <c r="AN95" s="177" t="s">
        <v>3177</v>
      </c>
      <c r="AO95" s="177" t="s">
        <v>3252</v>
      </c>
      <c r="AP95" s="177" t="s">
        <v>3304</v>
      </c>
      <c r="AQ95" s="177" t="s">
        <v>3363</v>
      </c>
      <c r="AR95" s="177" t="s">
        <v>3431</v>
      </c>
      <c r="AS95" s="177" t="s">
        <v>3524</v>
      </c>
      <c r="AT95" s="177" t="s">
        <v>3610</v>
      </c>
      <c r="AU95" s="177" t="s">
        <v>3694</v>
      </c>
      <c r="AV95" s="177" t="s">
        <v>3764</v>
      </c>
      <c r="AW95" s="181" t="str">
        <f>IF('Custom Language and Timezone'!E101&lt;&gt;"",'Custom Language and Timezone'!E101,'Custom Language and Timezone'!C101)</f>
        <v>Group A-F 3rd Place Standings</v>
      </c>
    </row>
    <row r="96" spans="1:49" x14ac:dyDescent="0.2">
      <c r="A96" s="181">
        <v>95</v>
      </c>
      <c r="B96" s="181" t="s">
        <v>3999</v>
      </c>
      <c r="C96" s="187" t="s">
        <v>4023</v>
      </c>
      <c r="D96" s="187" t="s">
        <v>4024</v>
      </c>
      <c r="E96" s="187" t="s">
        <v>4025</v>
      </c>
      <c r="F96" s="187" t="s">
        <v>3999</v>
      </c>
      <c r="G96" s="187" t="s">
        <v>4026</v>
      </c>
      <c r="H96" s="187" t="s">
        <v>4027</v>
      </c>
      <c r="I96" s="187" t="s">
        <v>4028</v>
      </c>
      <c r="J96" s="187" t="s">
        <v>4029</v>
      </c>
      <c r="K96" s="187" t="s">
        <v>3999</v>
      </c>
      <c r="L96" s="187" t="s">
        <v>4030</v>
      </c>
      <c r="M96" s="187" t="s">
        <v>3999</v>
      </c>
      <c r="N96" s="187" t="s">
        <v>4031</v>
      </c>
      <c r="O96" s="181" t="s">
        <v>3999</v>
      </c>
      <c r="P96" s="187" t="s">
        <v>4032</v>
      </c>
      <c r="Q96" s="187" t="s">
        <v>4033</v>
      </c>
      <c r="R96" s="187" t="s">
        <v>4034</v>
      </c>
      <c r="S96" s="187" t="s">
        <v>4035</v>
      </c>
      <c r="T96" s="187" t="s">
        <v>4036</v>
      </c>
      <c r="U96" s="187" t="s">
        <v>4037</v>
      </c>
      <c r="V96" s="187" t="s">
        <v>4038</v>
      </c>
      <c r="W96" s="187" t="s">
        <v>3999</v>
      </c>
      <c r="X96" s="187" t="s">
        <v>4039</v>
      </c>
      <c r="Y96" s="187" t="s">
        <v>3999</v>
      </c>
      <c r="Z96" s="187" t="s">
        <v>4040</v>
      </c>
      <c r="AA96" s="187" t="s">
        <v>4041</v>
      </c>
      <c r="AB96" s="187" t="s">
        <v>4042</v>
      </c>
      <c r="AC96" s="187" t="s">
        <v>4043</v>
      </c>
      <c r="AD96" s="187" t="s">
        <v>4044</v>
      </c>
      <c r="AE96" s="187" t="s">
        <v>4045</v>
      </c>
      <c r="AF96" s="187" t="s">
        <v>3999</v>
      </c>
      <c r="AG96" s="187" t="s">
        <v>4046</v>
      </c>
      <c r="AH96" s="187" t="s">
        <v>4047</v>
      </c>
      <c r="AI96" s="187" t="s">
        <v>4048</v>
      </c>
      <c r="AJ96" s="187" t="s">
        <v>4049</v>
      </c>
      <c r="AK96" s="187" t="s">
        <v>4050</v>
      </c>
      <c r="AL96" s="187" t="s">
        <v>4051</v>
      </c>
      <c r="AM96" s="187" t="s">
        <v>4052</v>
      </c>
      <c r="AN96" s="187" t="s">
        <v>4053</v>
      </c>
      <c r="AO96" s="187" t="s">
        <v>3999</v>
      </c>
      <c r="AP96" s="187" t="s">
        <v>3999</v>
      </c>
      <c r="AQ96" s="187" t="s">
        <v>4054</v>
      </c>
      <c r="AR96" s="187" t="s">
        <v>3999</v>
      </c>
      <c r="AS96" s="187" t="s">
        <v>4055</v>
      </c>
      <c r="AT96" s="187" t="s">
        <v>4056</v>
      </c>
      <c r="AU96" s="187" t="s">
        <v>4057</v>
      </c>
      <c r="AV96" s="187" t="s">
        <v>3999</v>
      </c>
      <c r="AW96" s="181" t="str">
        <f>IF('Custom Language and Timezone'!E102&lt;&gt;"",'Custom Language and Timezone'!E102,'Custom Language and Timezone'!C102)</f>
        <v>Match 49 Loser</v>
      </c>
    </row>
    <row r="97" spans="1:49" x14ac:dyDescent="0.2">
      <c r="A97" s="181">
        <v>96</v>
      </c>
      <c r="B97" s="181" t="s">
        <v>4000</v>
      </c>
      <c r="C97" s="187" t="s">
        <v>4058</v>
      </c>
      <c r="D97" s="187" t="s">
        <v>4059</v>
      </c>
      <c r="E97" s="187" t="s">
        <v>4060</v>
      </c>
      <c r="F97" s="187" t="s">
        <v>4000</v>
      </c>
      <c r="G97" s="187" t="s">
        <v>4061</v>
      </c>
      <c r="H97" s="187" t="s">
        <v>4062</v>
      </c>
      <c r="I97" s="187" t="s">
        <v>4063</v>
      </c>
      <c r="J97" s="187" t="s">
        <v>4064</v>
      </c>
      <c r="K97" s="187" t="s">
        <v>4000</v>
      </c>
      <c r="L97" s="187" t="s">
        <v>4065</v>
      </c>
      <c r="M97" s="187" t="s">
        <v>4000</v>
      </c>
      <c r="N97" s="187" t="s">
        <v>4066</v>
      </c>
      <c r="O97" s="181" t="s">
        <v>4000</v>
      </c>
      <c r="P97" s="187" t="s">
        <v>4067</v>
      </c>
      <c r="Q97" s="187" t="s">
        <v>4068</v>
      </c>
      <c r="R97" s="187" t="s">
        <v>4069</v>
      </c>
      <c r="S97" s="187" t="s">
        <v>4070</v>
      </c>
      <c r="T97" s="187" t="s">
        <v>4071</v>
      </c>
      <c r="U97" s="187" t="s">
        <v>4072</v>
      </c>
      <c r="V97" s="187" t="s">
        <v>4073</v>
      </c>
      <c r="W97" s="187" t="s">
        <v>4000</v>
      </c>
      <c r="X97" s="187" t="s">
        <v>4074</v>
      </c>
      <c r="Y97" s="187" t="s">
        <v>4000</v>
      </c>
      <c r="Z97" s="187" t="s">
        <v>4075</v>
      </c>
      <c r="AA97" s="187" t="s">
        <v>4076</v>
      </c>
      <c r="AB97" s="187" t="s">
        <v>4077</v>
      </c>
      <c r="AC97" s="187" t="s">
        <v>4078</v>
      </c>
      <c r="AD97" s="187" t="s">
        <v>4079</v>
      </c>
      <c r="AE97" s="187" t="s">
        <v>4080</v>
      </c>
      <c r="AF97" s="187" t="s">
        <v>4000</v>
      </c>
      <c r="AG97" s="187" t="s">
        <v>4081</v>
      </c>
      <c r="AH97" s="187" t="s">
        <v>4082</v>
      </c>
      <c r="AI97" s="187" t="s">
        <v>4083</v>
      </c>
      <c r="AJ97" s="187" t="s">
        <v>4084</v>
      </c>
      <c r="AK97" s="187" t="s">
        <v>4085</v>
      </c>
      <c r="AL97" s="187" t="s">
        <v>4086</v>
      </c>
      <c r="AM97" s="187" t="s">
        <v>4087</v>
      </c>
      <c r="AN97" s="187" t="s">
        <v>4088</v>
      </c>
      <c r="AO97" s="187" t="s">
        <v>4000</v>
      </c>
      <c r="AP97" s="187" t="s">
        <v>4000</v>
      </c>
      <c r="AQ97" s="187" t="s">
        <v>4089</v>
      </c>
      <c r="AR97" s="187" t="s">
        <v>4000</v>
      </c>
      <c r="AS97" s="187" t="s">
        <v>4090</v>
      </c>
      <c r="AT97" s="187" t="s">
        <v>4091</v>
      </c>
      <c r="AU97" s="187" t="s">
        <v>4092</v>
      </c>
      <c r="AV97" s="187" t="s">
        <v>4000</v>
      </c>
      <c r="AW97" s="181" t="str">
        <f>IF('Custom Language and Timezone'!E103&lt;&gt;"",'Custom Language and Timezone'!E103,'Custom Language and Timezone'!C103)</f>
        <v>Match 50 Loser</v>
      </c>
    </row>
    <row r="98" spans="1:49" x14ac:dyDescent="0.2">
      <c r="A98" s="181">
        <v>97</v>
      </c>
      <c r="B98" s="181" t="s">
        <v>4001</v>
      </c>
      <c r="C98" s="187" t="s">
        <v>4093</v>
      </c>
      <c r="D98" s="187" t="s">
        <v>4094</v>
      </c>
      <c r="E98" s="187" t="s">
        <v>4095</v>
      </c>
      <c r="F98" s="187" t="s">
        <v>4001</v>
      </c>
      <c r="G98" s="187" t="s">
        <v>4096</v>
      </c>
      <c r="H98" s="187" t="s">
        <v>4097</v>
      </c>
      <c r="I98" s="187" t="s">
        <v>4098</v>
      </c>
      <c r="J98" s="187" t="s">
        <v>4099</v>
      </c>
      <c r="K98" s="187" t="s">
        <v>4001</v>
      </c>
      <c r="L98" s="187" t="s">
        <v>4100</v>
      </c>
      <c r="M98" s="187" t="s">
        <v>4001</v>
      </c>
      <c r="N98" s="187" t="s">
        <v>4101</v>
      </c>
      <c r="O98" s="181" t="s">
        <v>4001</v>
      </c>
      <c r="P98" s="187" t="s">
        <v>4102</v>
      </c>
      <c r="Q98" s="187" t="s">
        <v>4103</v>
      </c>
      <c r="R98" s="187" t="s">
        <v>4104</v>
      </c>
      <c r="S98" s="187" t="s">
        <v>4105</v>
      </c>
      <c r="T98" s="187" t="s">
        <v>4106</v>
      </c>
      <c r="U98" s="187" t="s">
        <v>4107</v>
      </c>
      <c r="V98" s="187" t="s">
        <v>4108</v>
      </c>
      <c r="W98" s="187" t="s">
        <v>4001</v>
      </c>
      <c r="X98" s="187" t="s">
        <v>4109</v>
      </c>
      <c r="Y98" s="187" t="s">
        <v>4001</v>
      </c>
      <c r="Z98" s="187" t="s">
        <v>4110</v>
      </c>
      <c r="AA98" s="187" t="s">
        <v>4111</v>
      </c>
      <c r="AB98" s="187" t="s">
        <v>4112</v>
      </c>
      <c r="AC98" s="187" t="s">
        <v>4113</v>
      </c>
      <c r="AD98" s="187" t="s">
        <v>4114</v>
      </c>
      <c r="AE98" s="187" t="s">
        <v>4115</v>
      </c>
      <c r="AF98" s="187" t="s">
        <v>4001</v>
      </c>
      <c r="AG98" s="187" t="s">
        <v>4116</v>
      </c>
      <c r="AH98" s="187" t="s">
        <v>4117</v>
      </c>
      <c r="AI98" s="187" t="s">
        <v>4118</v>
      </c>
      <c r="AJ98" s="187" t="s">
        <v>4119</v>
      </c>
      <c r="AK98" s="187" t="s">
        <v>4120</v>
      </c>
      <c r="AL98" s="187" t="s">
        <v>4121</v>
      </c>
      <c r="AM98" s="187" t="s">
        <v>4122</v>
      </c>
      <c r="AN98" s="187" t="s">
        <v>4123</v>
      </c>
      <c r="AO98" s="187" t="s">
        <v>4001</v>
      </c>
      <c r="AP98" s="187" t="s">
        <v>4001</v>
      </c>
      <c r="AQ98" s="187" t="s">
        <v>4124</v>
      </c>
      <c r="AR98" s="187" t="s">
        <v>4001</v>
      </c>
      <c r="AS98" s="187" t="s">
        <v>4125</v>
      </c>
      <c r="AT98" s="187" t="s">
        <v>4126</v>
      </c>
      <c r="AU98" s="187" t="s">
        <v>4127</v>
      </c>
      <c r="AV98" s="187" t="s">
        <v>4001</v>
      </c>
      <c r="AW98" s="181" t="str">
        <f>IF('Custom Language and Timezone'!E104&lt;&gt;"",'Custom Language and Timezone'!E104,'Custom Language and Timezone'!C104)</f>
        <v>Match 51 Loser</v>
      </c>
    </row>
    <row r="99" spans="1:49" x14ac:dyDescent="0.2">
      <c r="A99" s="181">
        <v>98</v>
      </c>
      <c r="E99" s="182"/>
      <c r="F99" s="182"/>
      <c r="H99" s="182"/>
      <c r="I99" s="182"/>
      <c r="L99" s="182"/>
    </row>
    <row r="100" spans="1:49" x14ac:dyDescent="0.2">
      <c r="A100" s="181">
        <v>99</v>
      </c>
      <c r="E100" s="182"/>
      <c r="F100" s="182"/>
      <c r="H100" s="182"/>
      <c r="I100" s="182"/>
      <c r="L100" s="182"/>
    </row>
    <row r="101" spans="1:49" x14ac:dyDescent="0.2">
      <c r="A101" s="181">
        <v>100</v>
      </c>
      <c r="E101" s="182"/>
      <c r="F101" s="182"/>
      <c r="H101" s="182"/>
      <c r="I101" s="182"/>
      <c r="L101" s="182"/>
    </row>
    <row r="102" spans="1:49" x14ac:dyDescent="0.2">
      <c r="A102" s="181">
        <v>101</v>
      </c>
      <c r="E102" s="182"/>
      <c r="F102" s="182"/>
      <c r="H102" s="182"/>
      <c r="I102" s="182"/>
      <c r="L102" s="182"/>
    </row>
    <row r="103" spans="1:49" x14ac:dyDescent="0.2">
      <c r="A103" s="181">
        <v>102</v>
      </c>
      <c r="I103" s="182"/>
      <c r="L103" s="182"/>
    </row>
    <row r="104" spans="1:49" x14ac:dyDescent="0.2">
      <c r="A104" s="181">
        <v>103</v>
      </c>
      <c r="I104" s="182"/>
      <c r="L104" s="182"/>
    </row>
    <row r="105" spans="1:49" x14ac:dyDescent="0.2">
      <c r="A105" s="181">
        <v>104</v>
      </c>
      <c r="I105" s="182"/>
      <c r="L105" s="182"/>
    </row>
    <row r="106" spans="1:49" x14ac:dyDescent="0.2">
      <c r="A106" s="181">
        <v>105</v>
      </c>
      <c r="I106" s="182"/>
      <c r="L106" s="182"/>
    </row>
    <row r="107" spans="1:49" x14ac:dyDescent="0.2">
      <c r="A107" s="181">
        <v>106</v>
      </c>
      <c r="I107" s="182"/>
      <c r="L107" s="182"/>
    </row>
    <row r="108" spans="1:49" x14ac:dyDescent="0.2">
      <c r="A108" s="181">
        <v>107</v>
      </c>
      <c r="I108" s="182"/>
      <c r="L108" s="182"/>
    </row>
    <row r="109" spans="1:49" x14ac:dyDescent="0.2">
      <c r="I109" s="182"/>
      <c r="L109" s="182"/>
    </row>
    <row r="110" spans="1:49" x14ac:dyDescent="0.2">
      <c r="L110" s="182"/>
    </row>
    <row r="111" spans="1:49" x14ac:dyDescent="0.2">
      <c r="L111" s="182"/>
    </row>
    <row r="112" spans="1:49" x14ac:dyDescent="0.2">
      <c r="L112" s="182"/>
    </row>
    <row r="113" spans="12:12" x14ac:dyDescent="0.2">
      <c r="L113" s="182"/>
    </row>
    <row r="114" spans="12:12" x14ac:dyDescent="0.2">
      <c r="L114" s="182"/>
    </row>
    <row r="115" spans="12:12" x14ac:dyDescent="0.2">
      <c r="L115" s="182"/>
    </row>
    <row r="116" spans="12:12" x14ac:dyDescent="0.2">
      <c r="L116" s="182"/>
    </row>
    <row r="117" spans="12:12" x14ac:dyDescent="0.2">
      <c r="L117" s="182"/>
    </row>
    <row r="118" spans="12:12" x14ac:dyDescent="0.2">
      <c r="L118" s="182"/>
    </row>
    <row r="119" spans="12:12" x14ac:dyDescent="0.2">
      <c r="L119" s="182"/>
    </row>
    <row r="120" spans="12:12" x14ac:dyDescent="0.2">
      <c r="L120" s="182"/>
    </row>
    <row r="121" spans="12:12" x14ac:dyDescent="0.2">
      <c r="L121" s="182"/>
    </row>
    <row r="122" spans="12:12" x14ac:dyDescent="0.2">
      <c r="L122" s="182"/>
    </row>
    <row r="123" spans="12:12" x14ac:dyDescent="0.2">
      <c r="L123" s="182"/>
    </row>
    <row r="124" spans="12:12" x14ac:dyDescent="0.2">
      <c r="L124" s="182"/>
    </row>
    <row r="125" spans="12:12" x14ac:dyDescent="0.2">
      <c r="L125" s="182"/>
    </row>
    <row r="126" spans="12:12" x14ac:dyDescent="0.2">
      <c r="L126" s="182"/>
    </row>
    <row r="127" spans="12:12" x14ac:dyDescent="0.2">
      <c r="L127" s="182"/>
    </row>
    <row r="128" spans="12:12" x14ac:dyDescent="0.2">
      <c r="L128" s="182"/>
    </row>
    <row r="129" spans="12:12" x14ac:dyDescent="0.2">
      <c r="L129" s="182"/>
    </row>
    <row r="130" spans="12:12" x14ac:dyDescent="0.2">
      <c r="L130" s="182"/>
    </row>
    <row r="131" spans="12:12" x14ac:dyDescent="0.2">
      <c r="L131" s="182"/>
    </row>
    <row r="132" spans="12:12" x14ac:dyDescent="0.2">
      <c r="L132" s="182"/>
    </row>
  </sheetData>
  <sheetProtection password="CE6F" sheet="1" objects="1" scenarios="1" selectLockedCells="1" selectUnlockedCells="1"/>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45"/>
  <sheetViews>
    <sheetView showGridLines="0" zoomScaleNormal="100" workbookViewId="0">
      <selection activeCell="E14" sqref="E14"/>
    </sheetView>
  </sheetViews>
  <sheetFormatPr baseColWidth="10" defaultColWidth="9.140625" defaultRowHeight="15" customHeight="1" x14ac:dyDescent="0.2"/>
  <cols>
    <col min="1" max="1" width="10.7109375" style="93" customWidth="1"/>
    <col min="2" max="2" width="4.42578125" style="94" customWidth="1"/>
    <col min="3" max="3" width="23" style="95" customWidth="1"/>
    <col min="4" max="4" width="30.85546875" style="95" customWidth="1"/>
    <col min="5" max="5" width="40.7109375" style="95" customWidth="1"/>
    <col min="6" max="6" width="4.7109375" style="95" bestFit="1" customWidth="1"/>
    <col min="7" max="8" width="9.28515625" style="95" bestFit="1" customWidth="1"/>
    <col min="9" max="9" width="9.28515625" style="183" bestFit="1" customWidth="1"/>
    <col min="10" max="10" width="9.140625" style="183"/>
    <col min="11" max="16" width="9.28515625" style="183" bestFit="1" customWidth="1"/>
    <col min="17" max="18" width="12.5703125" style="183" bestFit="1" customWidth="1"/>
    <col min="19" max="19" width="9.140625" style="95"/>
    <col min="20" max="20" width="2.42578125" style="191" customWidth="1"/>
    <col min="21" max="21" width="4.28515625" style="191" customWidth="1"/>
    <col min="22" max="22" width="19.28515625" style="191" customWidth="1"/>
    <col min="23" max="26" width="9.28515625" style="191" bestFit="1" customWidth="1"/>
    <col min="27" max="27" width="9.140625" style="191"/>
    <col min="28" max="28" width="9.28515625" style="191" bestFit="1" customWidth="1"/>
    <col min="29" max="29" width="2.42578125" style="191" customWidth="1"/>
    <col min="30" max="30" width="9.140625" style="95"/>
    <col min="31" max="31" width="9.28515625" style="95" bestFit="1" customWidth="1"/>
    <col min="32" max="34" width="9.140625" style="95"/>
    <col min="35" max="39" width="9.140625" style="2"/>
    <col min="40" max="16384" width="9.140625" style="93"/>
  </cols>
  <sheetData>
    <row r="1" spans="1:39" ht="15" customHeight="1" x14ac:dyDescent="0.2">
      <c r="I1" s="188"/>
      <c r="J1" s="188"/>
      <c r="K1" s="189"/>
      <c r="L1" s="188"/>
      <c r="M1" s="188"/>
      <c r="N1" s="188"/>
      <c r="O1" s="188"/>
      <c r="P1" s="188"/>
      <c r="Q1" s="190"/>
      <c r="R1" s="188"/>
    </row>
    <row r="2" spans="1:39" s="95" customFormat="1" ht="15" customHeight="1" x14ac:dyDescent="0.2">
      <c r="B2" s="96"/>
      <c r="G2" s="95">
        <v>-5</v>
      </c>
      <c r="H2" s="95">
        <f t="shared" ref="H2:H12" si="0">IF(K2&gt;0,ABS($G$2)+K2,K2-$G$2)</f>
        <v>6</v>
      </c>
      <c r="I2" s="188">
        <v>1</v>
      </c>
      <c r="J2" s="181" t="str">
        <f>IF('Custom Language and Timezone'!E3&lt;&gt;"",'Custom Language and Timezone'!E3,"New City")</f>
        <v>NEW CITY</v>
      </c>
      <c r="K2" s="181">
        <f>IF('Custom Language and Timezone'!D4="+",1,-1)</f>
        <v>1</v>
      </c>
      <c r="L2" s="192">
        <f>IF('Custom Language and Timezone'!E4&lt;&gt;"",'Custom Language and Timezone'!E4,"1:00")</f>
        <v>0.54166666666666663</v>
      </c>
      <c r="M2" s="193">
        <f>VLOOKUP(Tournament!H5,'Countries and Timezone'!J2:K145,2,FALSE)</f>
        <v>0</v>
      </c>
      <c r="N2" s="194">
        <f>VLOOKUP(Tournament!H5,'Countries and Timezone'!J2:L145,3,FALSE)</f>
        <v>0</v>
      </c>
      <c r="O2" s="195">
        <v>1</v>
      </c>
      <c r="P2" s="196">
        <f t="shared" ref="P2:P65" si="1">Q2</f>
        <v>42531.875</v>
      </c>
      <c r="Q2" s="197">
        <v>42531.875</v>
      </c>
      <c r="R2" s="198">
        <f t="shared" ref="R2:R65" si="2">IF(M$2&gt;0,Q2+N$2,Q2-N$2)</f>
        <v>42531.875</v>
      </c>
      <c r="T2" s="191"/>
      <c r="U2" s="191"/>
      <c r="V2" s="191" t="s">
        <v>162</v>
      </c>
      <c r="W2" s="199">
        <v>42531</v>
      </c>
      <c r="X2" s="200">
        <v>0.875</v>
      </c>
      <c r="Y2" s="191"/>
      <c r="Z2" s="191"/>
      <c r="AA2" s="191"/>
      <c r="AB2" s="191"/>
      <c r="AC2" s="191"/>
      <c r="AI2" s="2"/>
      <c r="AJ2" s="2"/>
      <c r="AK2" s="2"/>
      <c r="AL2" s="2"/>
      <c r="AM2" s="2"/>
    </row>
    <row r="3" spans="1:39" s="95" customFormat="1" ht="15" customHeight="1" x14ac:dyDescent="0.2">
      <c r="B3" s="96"/>
      <c r="H3" s="95">
        <f t="shared" si="0"/>
        <v>6</v>
      </c>
      <c r="I3" s="188">
        <v>2</v>
      </c>
      <c r="J3" s="181" t="s">
        <v>161</v>
      </c>
      <c r="K3" s="181">
        <v>1</v>
      </c>
      <c r="L3" s="192">
        <v>4.1666666666666664E-2</v>
      </c>
      <c r="M3" s="193"/>
      <c r="N3" s="188"/>
      <c r="O3" s="195">
        <v>2</v>
      </c>
      <c r="P3" s="196">
        <f t="shared" si="1"/>
        <v>42532.625</v>
      </c>
      <c r="Q3" s="197">
        <v>42532.625</v>
      </c>
      <c r="R3" s="198">
        <f t="shared" si="2"/>
        <v>42532.625</v>
      </c>
      <c r="T3" s="191"/>
      <c r="U3" s="191"/>
      <c r="V3" s="191" t="s">
        <v>164</v>
      </c>
      <c r="W3" s="199">
        <v>42532</v>
      </c>
      <c r="X3" s="200">
        <v>0.625</v>
      </c>
      <c r="Y3" s="191"/>
      <c r="Z3" s="191"/>
      <c r="AA3" s="191"/>
      <c r="AB3" s="191"/>
      <c r="AC3" s="191"/>
      <c r="AI3" s="2"/>
      <c r="AJ3" s="2"/>
      <c r="AK3" s="2"/>
      <c r="AL3" s="2"/>
      <c r="AM3" s="2"/>
    </row>
    <row r="4" spans="1:39" s="95" customFormat="1" ht="15" customHeight="1" x14ac:dyDescent="0.2">
      <c r="B4" s="96"/>
      <c r="H4" s="95">
        <f t="shared" si="0"/>
        <v>12.5</v>
      </c>
      <c r="I4" s="188">
        <v>3</v>
      </c>
      <c r="J4" s="181" t="s">
        <v>163</v>
      </c>
      <c r="K4" s="181">
        <v>7.5</v>
      </c>
      <c r="L4" s="192">
        <v>0.3125</v>
      </c>
      <c r="M4" s="188"/>
      <c r="N4" s="188"/>
      <c r="O4" s="195">
        <v>3</v>
      </c>
      <c r="P4" s="196">
        <f t="shared" si="1"/>
        <v>42532.75</v>
      </c>
      <c r="Q4" s="197">
        <v>42532.75</v>
      </c>
      <c r="R4" s="198">
        <f t="shared" si="2"/>
        <v>42532.75</v>
      </c>
      <c r="T4" s="191"/>
      <c r="U4" s="191"/>
      <c r="V4" s="191" t="s">
        <v>166</v>
      </c>
      <c r="W4" s="199">
        <v>42532</v>
      </c>
      <c r="X4" s="200">
        <v>0.75</v>
      </c>
      <c r="Y4" s="191"/>
      <c r="Z4" s="191"/>
      <c r="AA4" s="191"/>
      <c r="AB4" s="191"/>
      <c r="AC4" s="191"/>
      <c r="AI4" s="2"/>
      <c r="AJ4" s="2"/>
      <c r="AK4" s="2"/>
      <c r="AL4" s="2"/>
      <c r="AM4" s="2"/>
    </row>
    <row r="5" spans="1:39" s="95" customFormat="1" ht="15" customHeight="1" x14ac:dyDescent="0.2">
      <c r="B5" s="96"/>
      <c r="H5" s="95">
        <f t="shared" si="0"/>
        <v>6</v>
      </c>
      <c r="I5" s="188">
        <v>4</v>
      </c>
      <c r="J5" s="181" t="s">
        <v>165</v>
      </c>
      <c r="K5" s="181">
        <v>1</v>
      </c>
      <c r="L5" s="192">
        <v>4.1666666666666664E-2</v>
      </c>
      <c r="M5" s="188"/>
      <c r="N5" s="188"/>
      <c r="O5" s="195">
        <v>4</v>
      </c>
      <c r="P5" s="196">
        <f t="shared" si="1"/>
        <v>42532.875</v>
      </c>
      <c r="Q5" s="197">
        <v>42532.875</v>
      </c>
      <c r="R5" s="198">
        <f t="shared" si="2"/>
        <v>42532.875</v>
      </c>
      <c r="T5" s="191"/>
      <c r="U5" s="191"/>
      <c r="V5" s="191" t="s">
        <v>168</v>
      </c>
      <c r="W5" s="199">
        <v>42532</v>
      </c>
      <c r="X5" s="200">
        <v>0.875</v>
      </c>
      <c r="Y5" s="191"/>
      <c r="Z5" s="191"/>
      <c r="AA5" s="191"/>
      <c r="AB5" s="191"/>
      <c r="AC5" s="191"/>
      <c r="AI5" s="2"/>
      <c r="AJ5" s="2"/>
      <c r="AK5" s="2"/>
      <c r="AL5" s="2"/>
      <c r="AM5" s="2"/>
    </row>
    <row r="6" spans="1:39" s="95" customFormat="1" ht="15" customHeight="1" x14ac:dyDescent="0.2">
      <c r="A6" s="97" t="s">
        <v>8</v>
      </c>
      <c r="B6" s="97"/>
      <c r="C6" s="97" t="s">
        <v>23</v>
      </c>
      <c r="D6" s="97"/>
      <c r="E6" s="97"/>
      <c r="H6" s="95">
        <f t="shared" si="0"/>
        <v>4</v>
      </c>
      <c r="I6" s="188">
        <v>5</v>
      </c>
      <c r="J6" s="181" t="s">
        <v>167</v>
      </c>
      <c r="K6" s="181">
        <v>-1</v>
      </c>
      <c r="L6" s="192">
        <v>4.1666666666666664E-2</v>
      </c>
      <c r="M6" s="188"/>
      <c r="N6" s="188"/>
      <c r="O6" s="195">
        <v>5</v>
      </c>
      <c r="P6" s="196">
        <f t="shared" si="1"/>
        <v>42533.625</v>
      </c>
      <c r="Q6" s="197">
        <v>42533.625</v>
      </c>
      <c r="R6" s="198">
        <f t="shared" si="2"/>
        <v>42533.625</v>
      </c>
      <c r="T6" s="191"/>
      <c r="U6" s="191"/>
      <c r="V6" s="191" t="s">
        <v>170</v>
      </c>
      <c r="W6" s="199">
        <v>42533</v>
      </c>
      <c r="X6" s="200">
        <v>0.625</v>
      </c>
      <c r="Y6" s="191"/>
      <c r="Z6" s="191"/>
      <c r="AA6" s="191"/>
      <c r="AB6" s="191"/>
      <c r="AC6" s="191"/>
      <c r="AE6" s="95">
        <f>SUM(Tournament!AC12:AC15)</f>
        <v>0</v>
      </c>
      <c r="AI6" s="2"/>
      <c r="AJ6" s="2"/>
      <c r="AK6" s="2"/>
      <c r="AL6" s="2"/>
      <c r="AM6" s="2"/>
    </row>
    <row r="7" spans="1:39" s="95" customFormat="1" ht="15" customHeight="1" x14ac:dyDescent="0.2">
      <c r="A7" s="218" t="s">
        <v>22</v>
      </c>
      <c r="B7" s="98"/>
      <c r="C7" s="201" t="str">
        <f>Tournament!H13</f>
        <v>Frankreich</v>
      </c>
      <c r="D7" s="202" t="s">
        <v>171</v>
      </c>
      <c r="E7" s="201" t="str">
        <f>"'Countries and Timezone'!"&amp;VLOOKUP(Tournament!AD12,$C$7:$D$38,2,FALSE)</f>
        <v>'Countries and Timezone'!B7</v>
      </c>
      <c r="F7" s="95">
        <v>1</v>
      </c>
      <c r="H7" s="95">
        <f t="shared" si="0"/>
        <v>9</v>
      </c>
      <c r="I7" s="188">
        <v>6</v>
      </c>
      <c r="J7" s="181" t="s">
        <v>169</v>
      </c>
      <c r="K7" s="181">
        <v>4</v>
      </c>
      <c r="L7" s="192">
        <v>0.16666666666666666</v>
      </c>
      <c r="M7" s="188"/>
      <c r="N7" s="188"/>
      <c r="O7" s="195">
        <v>6</v>
      </c>
      <c r="P7" s="196">
        <f t="shared" si="1"/>
        <v>42533.75</v>
      </c>
      <c r="Q7" s="197">
        <v>42533.75</v>
      </c>
      <c r="R7" s="198">
        <f t="shared" si="2"/>
        <v>42533.75</v>
      </c>
      <c r="T7" s="191"/>
      <c r="U7" s="191"/>
      <c r="V7" s="191" t="s">
        <v>173</v>
      </c>
      <c r="W7" s="199">
        <v>42533</v>
      </c>
      <c r="X7" s="200">
        <v>0.75</v>
      </c>
      <c r="Y7" s="191"/>
      <c r="Z7" s="191"/>
      <c r="AA7" s="191"/>
      <c r="AB7" s="191"/>
      <c r="AC7" s="191"/>
      <c r="AG7" s="95" t="s">
        <v>18</v>
      </c>
      <c r="AI7" s="2"/>
      <c r="AJ7" s="2"/>
      <c r="AK7" s="2"/>
      <c r="AL7" s="2"/>
      <c r="AM7" s="2"/>
    </row>
    <row r="8" spans="1:39" s="95" customFormat="1" ht="15" customHeight="1" x14ac:dyDescent="0.2">
      <c r="A8" s="218"/>
      <c r="B8" s="98"/>
      <c r="C8" s="201" t="str">
        <f>Tournament!N13</f>
        <v>Rumänien</v>
      </c>
      <c r="D8" s="202" t="s">
        <v>174</v>
      </c>
      <c r="E8" s="201" t="str">
        <f>"'Countries and Timezone'!"&amp;VLOOKUP(Tournament!AD13,$C$7:$D$38,2,FALSE)</f>
        <v>'Countries and Timezone'!B10</v>
      </c>
      <c r="F8" s="95">
        <v>2</v>
      </c>
      <c r="H8" s="95">
        <f t="shared" si="0"/>
        <v>6</v>
      </c>
      <c r="I8" s="188">
        <v>7</v>
      </c>
      <c r="J8" s="181" t="s">
        <v>172</v>
      </c>
      <c r="K8" s="181">
        <v>1</v>
      </c>
      <c r="L8" s="192">
        <v>4.1666666666666664E-2</v>
      </c>
      <c r="M8" s="188"/>
      <c r="N8" s="188"/>
      <c r="O8" s="195">
        <v>7</v>
      </c>
      <c r="P8" s="196">
        <f t="shared" si="1"/>
        <v>42533.875</v>
      </c>
      <c r="Q8" s="197">
        <v>42533.875</v>
      </c>
      <c r="R8" s="198">
        <f t="shared" si="2"/>
        <v>42533.875</v>
      </c>
      <c r="T8" s="191"/>
      <c r="U8" s="191"/>
      <c r="V8" s="191" t="s">
        <v>176</v>
      </c>
      <c r="W8" s="199">
        <v>42533</v>
      </c>
      <c r="X8" s="200">
        <v>0.875</v>
      </c>
      <c r="Y8" s="191"/>
      <c r="Z8" s="191"/>
      <c r="AA8" s="191"/>
      <c r="AB8" s="191"/>
      <c r="AC8" s="191"/>
      <c r="AG8" s="203" t="s">
        <v>57</v>
      </c>
      <c r="AI8" s="99"/>
      <c r="AJ8" s="2"/>
      <c r="AK8" s="2"/>
      <c r="AL8" s="2"/>
      <c r="AM8" s="2"/>
    </row>
    <row r="9" spans="1:39" s="95" customFormat="1" ht="15" customHeight="1" x14ac:dyDescent="0.2">
      <c r="A9" s="218"/>
      <c r="B9" s="98"/>
      <c r="C9" s="201" t="str">
        <f>Tournament!H14</f>
        <v>Albanien</v>
      </c>
      <c r="D9" s="202" t="s">
        <v>177</v>
      </c>
      <c r="E9" s="201" t="str">
        <f>"'Countries and Timezone'!"&amp;VLOOKUP(Tournament!AD14,$C$7:$D$38,2,FALSE)</f>
        <v>'Countries and Timezone'!B9</v>
      </c>
      <c r="F9" s="95">
        <v>3</v>
      </c>
      <c r="H9" s="95">
        <f t="shared" si="0"/>
        <v>5</v>
      </c>
      <c r="I9" s="188">
        <v>8</v>
      </c>
      <c r="J9" s="181" t="s">
        <v>175</v>
      </c>
      <c r="K9" s="181">
        <v>0</v>
      </c>
      <c r="L9" s="192">
        <v>0</v>
      </c>
      <c r="M9" s="188"/>
      <c r="N9" s="188" t="s">
        <v>179</v>
      </c>
      <c r="O9" s="195">
        <v>8</v>
      </c>
      <c r="P9" s="196">
        <f t="shared" si="1"/>
        <v>42534.625</v>
      </c>
      <c r="Q9" s="197">
        <v>42534.625</v>
      </c>
      <c r="R9" s="198">
        <f t="shared" si="2"/>
        <v>42534.625</v>
      </c>
      <c r="T9" s="191"/>
      <c r="U9" s="191"/>
      <c r="V9" s="191" t="s">
        <v>180</v>
      </c>
      <c r="W9" s="199">
        <v>42534</v>
      </c>
      <c r="X9" s="200">
        <v>0.625</v>
      </c>
      <c r="Y9" s="191"/>
      <c r="Z9" s="191"/>
      <c r="AA9" s="191"/>
      <c r="AB9" s="191"/>
      <c r="AC9" s="191"/>
      <c r="AG9" s="204" t="s">
        <v>105</v>
      </c>
      <c r="AI9" s="100"/>
      <c r="AJ9" s="2"/>
      <c r="AK9" s="2"/>
      <c r="AL9" s="2"/>
      <c r="AM9" s="2"/>
    </row>
    <row r="10" spans="1:39" s="95" customFormat="1" ht="15" customHeight="1" x14ac:dyDescent="0.2">
      <c r="A10" s="218"/>
      <c r="B10" s="98"/>
      <c r="C10" s="201" t="str">
        <f>Tournament!N14</f>
        <v>Schweiz</v>
      </c>
      <c r="D10" s="202" t="s">
        <v>181</v>
      </c>
      <c r="E10" s="201" t="str">
        <f>"'Countries and Timezone'!"&amp;VLOOKUP(Tournament!AD15,$C$7:$D$38,2,FALSE)</f>
        <v>'Countries and Timezone'!B8</v>
      </c>
      <c r="F10" s="95">
        <v>4</v>
      </c>
      <c r="H10" s="95">
        <f t="shared" si="0"/>
        <v>16</v>
      </c>
      <c r="I10" s="188">
        <v>9</v>
      </c>
      <c r="J10" s="181" t="s">
        <v>178</v>
      </c>
      <c r="K10" s="181">
        <v>11</v>
      </c>
      <c r="L10" s="192">
        <v>0.45833333333333331</v>
      </c>
      <c r="M10" s="188"/>
      <c r="N10" s="188"/>
      <c r="O10" s="195">
        <v>9</v>
      </c>
      <c r="P10" s="196">
        <f t="shared" si="1"/>
        <v>42534.75</v>
      </c>
      <c r="Q10" s="197">
        <v>42534.75</v>
      </c>
      <c r="R10" s="198">
        <f t="shared" si="2"/>
        <v>42534.75</v>
      </c>
      <c r="T10" s="191"/>
      <c r="U10" s="191"/>
      <c r="V10" s="191" t="s">
        <v>183</v>
      </c>
      <c r="W10" s="199">
        <v>42534</v>
      </c>
      <c r="X10" s="200">
        <v>0.75</v>
      </c>
      <c r="Y10" s="191"/>
      <c r="Z10" s="191"/>
      <c r="AA10" s="191"/>
      <c r="AB10" s="191"/>
      <c r="AC10" s="191"/>
      <c r="AG10" s="95" t="s">
        <v>106</v>
      </c>
      <c r="AI10" s="2"/>
      <c r="AJ10" s="2"/>
      <c r="AK10" s="2"/>
      <c r="AL10" s="2"/>
      <c r="AM10" s="2"/>
    </row>
    <row r="11" spans="1:39" s="95" customFormat="1" ht="15" customHeight="1" x14ac:dyDescent="0.2">
      <c r="A11" s="218" t="s">
        <v>9</v>
      </c>
      <c r="B11" s="98"/>
      <c r="C11" s="201" t="str">
        <f>Tournament!H16</f>
        <v>England</v>
      </c>
      <c r="D11" s="202" t="s">
        <v>184</v>
      </c>
      <c r="E11" s="201" t="str">
        <f>"'Countries and Timezone'!"&amp;VLOOKUP(Tournament!AD17,$C$7:$D$38,2,FALSE)</f>
        <v>'Countries and Timezone'!B13</v>
      </c>
      <c r="F11" s="95">
        <v>5</v>
      </c>
      <c r="H11" s="95">
        <f t="shared" si="0"/>
        <v>-5</v>
      </c>
      <c r="I11" s="188">
        <v>10</v>
      </c>
      <c r="J11" s="181" t="s">
        <v>182</v>
      </c>
      <c r="K11" s="205">
        <v>-10</v>
      </c>
      <c r="L11" s="192">
        <v>0.41666666666666669</v>
      </c>
      <c r="M11" s="188"/>
      <c r="N11" s="188"/>
      <c r="O11" s="195">
        <v>10</v>
      </c>
      <c r="P11" s="196">
        <f t="shared" si="1"/>
        <v>42534.875</v>
      </c>
      <c r="Q11" s="197">
        <v>42534.875</v>
      </c>
      <c r="R11" s="198">
        <f t="shared" si="2"/>
        <v>42534.875</v>
      </c>
      <c r="T11" s="191"/>
      <c r="U11" s="191"/>
      <c r="V11" s="191" t="s">
        <v>186</v>
      </c>
      <c r="W11" s="199">
        <v>42534</v>
      </c>
      <c r="X11" s="200">
        <v>0.875</v>
      </c>
      <c r="Y11" s="191"/>
      <c r="Z11" s="191"/>
      <c r="AA11" s="191"/>
      <c r="AB11" s="191"/>
      <c r="AC11" s="191"/>
      <c r="AG11" s="95" t="s">
        <v>4</v>
      </c>
      <c r="AI11" s="2"/>
      <c r="AJ11" s="2"/>
      <c r="AK11" s="2"/>
      <c r="AL11" s="2"/>
      <c r="AM11" s="2"/>
    </row>
    <row r="12" spans="1:39" s="95" customFormat="1" ht="15" customHeight="1" x14ac:dyDescent="0.2">
      <c r="A12" s="218"/>
      <c r="B12" s="98"/>
      <c r="C12" s="201" t="str">
        <f>Tournament!N16</f>
        <v>Russland</v>
      </c>
      <c r="D12" s="202" t="s">
        <v>187</v>
      </c>
      <c r="E12" s="201" t="str">
        <f>"'Countries and Timezone'!"&amp;VLOOKUP(Tournament!AD18,$C$7:$D$38,2,FALSE)</f>
        <v>'Countries and Timezone'!B11</v>
      </c>
      <c r="F12" s="95">
        <v>6</v>
      </c>
      <c r="H12" s="95">
        <f t="shared" si="0"/>
        <v>6</v>
      </c>
      <c r="I12" s="188">
        <v>11</v>
      </c>
      <c r="J12" s="181" t="s">
        <v>185</v>
      </c>
      <c r="K12" s="181">
        <v>1</v>
      </c>
      <c r="L12" s="192">
        <v>4.1666666666666664E-2</v>
      </c>
      <c r="M12" s="188"/>
      <c r="N12" s="188"/>
      <c r="O12" s="195">
        <v>11</v>
      </c>
      <c r="P12" s="196">
        <f t="shared" si="1"/>
        <v>42535.75</v>
      </c>
      <c r="Q12" s="197">
        <v>42535.75</v>
      </c>
      <c r="R12" s="198">
        <f t="shared" si="2"/>
        <v>42535.75</v>
      </c>
      <c r="T12" s="191"/>
      <c r="U12" s="191"/>
      <c r="V12" s="191" t="s">
        <v>189</v>
      </c>
      <c r="W12" s="199">
        <v>42535</v>
      </c>
      <c r="X12" s="200">
        <v>0.75</v>
      </c>
      <c r="Y12" s="191"/>
      <c r="Z12" s="191"/>
      <c r="AA12" s="191"/>
      <c r="AB12" s="191"/>
      <c r="AC12" s="191"/>
      <c r="AE12" s="95">
        <f>SUM(Tournament!AC17:AC20)</f>
        <v>0</v>
      </c>
      <c r="AG12" s="204" t="s">
        <v>107</v>
      </c>
      <c r="AI12" s="100"/>
      <c r="AJ12" s="2"/>
      <c r="AK12" s="2"/>
      <c r="AL12" s="2"/>
      <c r="AM12" s="2"/>
    </row>
    <row r="13" spans="1:39" s="95" customFormat="1" ht="15" customHeight="1" x14ac:dyDescent="0.2">
      <c r="A13" s="218"/>
      <c r="B13" s="98"/>
      <c r="C13" s="201" t="str">
        <f>Tournament!H15</f>
        <v>Wales</v>
      </c>
      <c r="D13" s="202" t="s">
        <v>190</v>
      </c>
      <c r="E13" s="201" t="str">
        <f>"'Countries and Timezone'!"&amp;VLOOKUP(Tournament!AD19,$C$7:$D$38,2,FALSE)</f>
        <v>'Countries and Timezone'!B14</v>
      </c>
      <c r="F13" s="95">
        <v>7</v>
      </c>
      <c r="H13" s="95">
        <f>IF(K13&gt;0,ABS($G$2)+K13,K13-$G$2)</f>
        <v>6</v>
      </c>
      <c r="I13" s="188">
        <v>12</v>
      </c>
      <c r="J13" s="181" t="s">
        <v>188</v>
      </c>
      <c r="K13" s="181">
        <v>1</v>
      </c>
      <c r="L13" s="192">
        <v>4.1666666666666664E-2</v>
      </c>
      <c r="M13" s="188"/>
      <c r="N13" s="188"/>
      <c r="O13" s="195">
        <v>12</v>
      </c>
      <c r="P13" s="196">
        <f t="shared" si="1"/>
        <v>42535.875</v>
      </c>
      <c r="Q13" s="197">
        <v>42535.875</v>
      </c>
      <c r="R13" s="198">
        <f t="shared" si="2"/>
        <v>42535.875</v>
      </c>
      <c r="T13" s="191"/>
      <c r="U13" s="191"/>
      <c r="V13" s="191" t="s">
        <v>192</v>
      </c>
      <c r="W13" s="199">
        <v>42535</v>
      </c>
      <c r="X13" s="200">
        <v>0.875</v>
      </c>
      <c r="Y13" s="191"/>
      <c r="Z13" s="191"/>
      <c r="AA13" s="191"/>
      <c r="AB13" s="191"/>
      <c r="AC13" s="191"/>
      <c r="AG13" s="95" t="s">
        <v>54</v>
      </c>
      <c r="AI13" s="2"/>
      <c r="AJ13" s="2"/>
      <c r="AK13" s="2"/>
      <c r="AL13" s="2"/>
      <c r="AM13" s="2"/>
    </row>
    <row r="14" spans="1:39" s="95" customFormat="1" ht="15" customHeight="1" x14ac:dyDescent="0.2">
      <c r="A14" s="218"/>
      <c r="B14" s="98"/>
      <c r="C14" s="201" t="str">
        <f>Tournament!N15</f>
        <v>Slowakei</v>
      </c>
      <c r="D14" s="202" t="s">
        <v>193</v>
      </c>
      <c r="E14" s="201" t="str">
        <f>"'Countries and Timezone'!"&amp;VLOOKUP(Tournament!AD20,$C$7:$D$38,2,FALSE)</f>
        <v>'Countries and Timezone'!B12</v>
      </c>
      <c r="F14" s="95">
        <v>8</v>
      </c>
      <c r="H14" s="95">
        <f t="shared" ref="H14:H77" si="3">IF(K14&gt;0,ABS($G$2)+K14,K14-$G$2)</f>
        <v>-1</v>
      </c>
      <c r="I14" s="188">
        <v>13</v>
      </c>
      <c r="J14" s="181" t="s">
        <v>191</v>
      </c>
      <c r="K14" s="181">
        <v>-6</v>
      </c>
      <c r="L14" s="192">
        <v>0.25</v>
      </c>
      <c r="M14" s="188"/>
      <c r="N14" s="188"/>
      <c r="O14" s="195">
        <v>13</v>
      </c>
      <c r="P14" s="196">
        <f t="shared" si="1"/>
        <v>42536.625</v>
      </c>
      <c r="Q14" s="197">
        <v>42536.625</v>
      </c>
      <c r="R14" s="198">
        <f t="shared" si="2"/>
        <v>42536.625</v>
      </c>
      <c r="T14" s="191"/>
      <c r="U14" s="191"/>
      <c r="V14" s="191"/>
      <c r="W14" s="199">
        <v>42536</v>
      </c>
      <c r="X14" s="200">
        <v>0.625</v>
      </c>
      <c r="Y14" s="191"/>
      <c r="Z14" s="191"/>
      <c r="AA14" s="191"/>
      <c r="AB14" s="191"/>
      <c r="AC14" s="191"/>
      <c r="AG14" s="204" t="s">
        <v>108</v>
      </c>
      <c r="AI14" s="100"/>
      <c r="AJ14" s="2"/>
      <c r="AK14" s="2"/>
      <c r="AL14" s="2"/>
      <c r="AM14" s="2"/>
    </row>
    <row r="15" spans="1:39" s="95" customFormat="1" ht="15" customHeight="1" x14ac:dyDescent="0.2">
      <c r="A15" s="218" t="s">
        <v>10</v>
      </c>
      <c r="B15" s="98"/>
      <c r="C15" s="201" t="str">
        <f>Tournament!H19</f>
        <v>Deutschland</v>
      </c>
      <c r="D15" s="202" t="s">
        <v>195</v>
      </c>
      <c r="E15" s="201" t="str">
        <f>"'Countries and Timezone'!"&amp;VLOOKUP(Tournament!AD22,$C$7:$D$38,2,FALSE)</f>
        <v>'Countries and Timezone'!B15</v>
      </c>
      <c r="F15" s="95">
        <v>9</v>
      </c>
      <c r="H15" s="95">
        <f t="shared" si="3"/>
        <v>6</v>
      </c>
      <c r="I15" s="188">
        <v>14</v>
      </c>
      <c r="J15" s="181" t="s">
        <v>194</v>
      </c>
      <c r="K15" s="181">
        <v>1</v>
      </c>
      <c r="L15" s="192">
        <v>4.1666666666666664E-2</v>
      </c>
      <c r="M15" s="188"/>
      <c r="N15" s="188"/>
      <c r="O15" s="195">
        <v>14</v>
      </c>
      <c r="P15" s="196">
        <f t="shared" si="1"/>
        <v>42536.75</v>
      </c>
      <c r="Q15" s="197">
        <v>42536.75</v>
      </c>
      <c r="R15" s="198">
        <f t="shared" si="2"/>
        <v>42536.75</v>
      </c>
      <c r="T15" s="191"/>
      <c r="U15" s="191"/>
      <c r="V15" s="191"/>
      <c r="W15" s="199">
        <v>42536</v>
      </c>
      <c r="X15" s="200">
        <v>0.75</v>
      </c>
      <c r="Y15" s="191"/>
      <c r="Z15" s="191"/>
      <c r="AA15" s="191"/>
      <c r="AB15" s="191"/>
      <c r="AC15" s="191"/>
      <c r="AG15" s="95" t="s">
        <v>109</v>
      </c>
      <c r="AI15" s="2"/>
      <c r="AJ15" s="2"/>
      <c r="AK15" s="2"/>
      <c r="AL15" s="2"/>
      <c r="AM15" s="2"/>
    </row>
    <row r="16" spans="1:39" s="95" customFormat="1" ht="15" customHeight="1" x14ac:dyDescent="0.2">
      <c r="A16" s="218"/>
      <c r="B16" s="98"/>
      <c r="C16" s="201" t="str">
        <f>Tournament!N19</f>
        <v>Ukraine</v>
      </c>
      <c r="D16" s="202" t="s">
        <v>197</v>
      </c>
      <c r="E16" s="201" t="str">
        <f>"'Countries and Timezone'!"&amp;VLOOKUP(Tournament!AD23,$C$7:$D$38,2,FALSE)</f>
        <v>'Countries and Timezone'!B17</v>
      </c>
      <c r="F16" s="95">
        <v>10</v>
      </c>
      <c r="H16" s="95">
        <f t="shared" si="3"/>
        <v>-1</v>
      </c>
      <c r="I16" s="188">
        <v>15</v>
      </c>
      <c r="J16" s="181" t="s">
        <v>196</v>
      </c>
      <c r="K16" s="181">
        <v>-6</v>
      </c>
      <c r="L16" s="192">
        <v>0.25</v>
      </c>
      <c r="M16" s="188"/>
      <c r="N16" s="188"/>
      <c r="O16" s="195">
        <v>15</v>
      </c>
      <c r="P16" s="196">
        <f t="shared" si="1"/>
        <v>42536.875</v>
      </c>
      <c r="Q16" s="197">
        <v>42536.875</v>
      </c>
      <c r="R16" s="198">
        <f t="shared" si="2"/>
        <v>42536.875</v>
      </c>
      <c r="T16" s="191"/>
      <c r="U16" s="191"/>
      <c r="V16" s="191"/>
      <c r="W16" s="199">
        <v>42536</v>
      </c>
      <c r="X16" s="200">
        <v>0.875</v>
      </c>
      <c r="Y16" s="191"/>
      <c r="Z16" s="191"/>
      <c r="AA16" s="191"/>
      <c r="AB16" s="191"/>
      <c r="AC16" s="191"/>
      <c r="AG16" s="204" t="s">
        <v>110</v>
      </c>
      <c r="AI16" s="100"/>
      <c r="AJ16" s="2"/>
      <c r="AK16" s="2"/>
      <c r="AL16" s="2"/>
      <c r="AM16" s="2"/>
    </row>
    <row r="17" spans="1:39" s="95" customFormat="1" ht="15" customHeight="1" x14ac:dyDescent="0.2">
      <c r="A17" s="218"/>
      <c r="B17" s="98"/>
      <c r="C17" s="201" t="str">
        <f>Tournament!H18</f>
        <v>Polen</v>
      </c>
      <c r="D17" s="202" t="s">
        <v>199</v>
      </c>
      <c r="E17" s="201" t="str">
        <f>"'Countries and Timezone'!"&amp;VLOOKUP(Tournament!AD24,$C$7:$D$38,2,FALSE)</f>
        <v>'Countries and Timezone'!B18</v>
      </c>
      <c r="F17" s="95">
        <v>11</v>
      </c>
      <c r="H17" s="95">
        <f t="shared" si="3"/>
        <v>15</v>
      </c>
      <c r="I17" s="188">
        <v>16</v>
      </c>
      <c r="J17" s="181" t="s">
        <v>198</v>
      </c>
      <c r="K17" s="181">
        <v>10</v>
      </c>
      <c r="L17" s="192">
        <v>0.41666666666666669</v>
      </c>
      <c r="M17" s="188"/>
      <c r="N17" s="188"/>
      <c r="O17" s="195">
        <v>16</v>
      </c>
      <c r="P17" s="196">
        <f t="shared" si="1"/>
        <v>42537.625</v>
      </c>
      <c r="Q17" s="197">
        <v>42537.625</v>
      </c>
      <c r="R17" s="198">
        <f t="shared" si="2"/>
        <v>42537.625</v>
      </c>
      <c r="T17" s="191"/>
      <c r="U17" s="191"/>
      <c r="V17" s="191"/>
      <c r="W17" s="199">
        <v>42537</v>
      </c>
      <c r="X17" s="200">
        <v>0.625</v>
      </c>
      <c r="Y17" s="191"/>
      <c r="Z17" s="191"/>
      <c r="AA17" s="191"/>
      <c r="AB17" s="191"/>
      <c r="AC17" s="191"/>
      <c r="AG17" s="95" t="s">
        <v>111</v>
      </c>
      <c r="AI17" s="2"/>
      <c r="AJ17" s="2"/>
      <c r="AK17" s="2"/>
      <c r="AL17" s="2"/>
      <c r="AM17" s="2"/>
    </row>
    <row r="18" spans="1:39" s="95" customFormat="1" ht="15" customHeight="1" x14ac:dyDescent="0.2">
      <c r="A18" s="218"/>
      <c r="B18" s="98"/>
      <c r="C18" s="201" t="str">
        <f>Tournament!N18</f>
        <v>Nordirland</v>
      </c>
      <c r="D18" s="202" t="s">
        <v>201</v>
      </c>
      <c r="E18" s="201" t="str">
        <f>"'Countries and Timezone'!"&amp;VLOOKUP(Tournament!AD25,$C$7:$D$38,2,FALSE)</f>
        <v>'Countries and Timezone'!B16</v>
      </c>
      <c r="F18" s="95">
        <v>12</v>
      </c>
      <c r="H18" s="95">
        <f t="shared" si="3"/>
        <v>6</v>
      </c>
      <c r="I18" s="188">
        <v>17</v>
      </c>
      <c r="J18" s="181" t="s">
        <v>200</v>
      </c>
      <c r="K18" s="181">
        <v>1</v>
      </c>
      <c r="L18" s="192">
        <v>4.1666666666666664E-2</v>
      </c>
      <c r="M18" s="188"/>
      <c r="N18" s="188"/>
      <c r="O18" s="195">
        <v>17</v>
      </c>
      <c r="P18" s="196">
        <f t="shared" si="1"/>
        <v>42537.75</v>
      </c>
      <c r="Q18" s="197">
        <v>42537.75</v>
      </c>
      <c r="R18" s="198">
        <f t="shared" si="2"/>
        <v>42537.75</v>
      </c>
      <c r="T18" s="191"/>
      <c r="U18" s="191"/>
      <c r="V18" s="191"/>
      <c r="W18" s="199">
        <v>42537</v>
      </c>
      <c r="X18" s="200">
        <v>0.75</v>
      </c>
      <c r="Y18" s="191"/>
      <c r="Z18" s="191"/>
      <c r="AA18" s="191"/>
      <c r="AB18" s="191"/>
      <c r="AC18" s="191"/>
      <c r="AE18" s="95">
        <f>SUM(Tournament!AC22:AC25)</f>
        <v>0</v>
      </c>
      <c r="AG18" s="204" t="s">
        <v>112</v>
      </c>
      <c r="AI18" s="100"/>
      <c r="AJ18" s="2"/>
      <c r="AK18" s="2"/>
      <c r="AL18" s="2"/>
      <c r="AM18" s="2"/>
    </row>
    <row r="19" spans="1:39" s="95" customFormat="1" ht="15" customHeight="1" x14ac:dyDescent="0.2">
      <c r="A19" s="218" t="s">
        <v>20</v>
      </c>
      <c r="B19" s="98"/>
      <c r="C19" s="201" t="str">
        <f>Tournament!H20</f>
        <v>Spanien</v>
      </c>
      <c r="D19" s="202" t="s">
        <v>203</v>
      </c>
      <c r="E19" s="201" t="str">
        <f>"'Countries and Timezone'!"&amp;VLOOKUP(Tournament!AD27,$C$7:$D$38,2,FALSE)</f>
        <v>'Countries and Timezone'!B22</v>
      </c>
      <c r="F19" s="95">
        <v>13</v>
      </c>
      <c r="H19" s="95">
        <f t="shared" si="3"/>
        <v>10</v>
      </c>
      <c r="I19" s="188">
        <v>18</v>
      </c>
      <c r="J19" s="181" t="s">
        <v>202</v>
      </c>
      <c r="K19" s="181">
        <v>5</v>
      </c>
      <c r="L19" s="192">
        <v>0.20833333333333334</v>
      </c>
      <c r="M19" s="188"/>
      <c r="N19" s="188"/>
      <c r="O19" s="195">
        <v>18</v>
      </c>
      <c r="P19" s="196">
        <f t="shared" si="1"/>
        <v>42537.875</v>
      </c>
      <c r="Q19" s="197">
        <v>42537.875</v>
      </c>
      <c r="R19" s="198">
        <f t="shared" si="2"/>
        <v>42537.875</v>
      </c>
      <c r="T19" s="191"/>
      <c r="U19" s="191"/>
      <c r="V19" s="191"/>
      <c r="W19" s="199">
        <v>42537</v>
      </c>
      <c r="X19" s="200">
        <v>0.875</v>
      </c>
      <c r="Y19" s="191"/>
      <c r="Z19" s="191"/>
      <c r="AA19" s="191"/>
      <c r="AB19" s="191"/>
      <c r="AC19" s="191"/>
      <c r="AG19" s="95" t="s">
        <v>113</v>
      </c>
      <c r="AI19" s="2"/>
      <c r="AJ19" s="2"/>
      <c r="AK19" s="2"/>
      <c r="AL19" s="2"/>
      <c r="AM19" s="2"/>
    </row>
    <row r="20" spans="1:39" s="95" customFormat="1" ht="15" customHeight="1" x14ac:dyDescent="0.25">
      <c r="A20" s="218"/>
      <c r="B20" s="98"/>
      <c r="C20" s="201" t="str">
        <f>Tournament!N20</f>
        <v>Tschechien</v>
      </c>
      <c r="D20" s="202" t="s">
        <v>205</v>
      </c>
      <c r="E20" s="201" t="str">
        <f>"'Countries and Timezone'!"&amp;VLOOKUP(Tournament!AD28,$C$7:$D$38,2,FALSE)</f>
        <v>'Countries and Timezone'!B19</v>
      </c>
      <c r="F20" s="95">
        <v>14</v>
      </c>
      <c r="H20" s="95">
        <f t="shared" si="3"/>
        <v>5</v>
      </c>
      <c r="I20" s="188">
        <v>19</v>
      </c>
      <c r="J20" s="181" t="s">
        <v>204</v>
      </c>
      <c r="K20" s="181">
        <v>0</v>
      </c>
      <c r="L20" s="192">
        <v>0</v>
      </c>
      <c r="M20" s="188"/>
      <c r="N20" s="188"/>
      <c r="O20" s="195">
        <v>19</v>
      </c>
      <c r="P20" s="196">
        <f t="shared" si="1"/>
        <v>42538.625</v>
      </c>
      <c r="Q20" s="197">
        <v>42538.625</v>
      </c>
      <c r="R20" s="198">
        <f t="shared" si="2"/>
        <v>42538.625</v>
      </c>
      <c r="T20" s="191"/>
      <c r="U20" s="191"/>
      <c r="V20" s="191"/>
      <c r="W20" s="199">
        <v>42538</v>
      </c>
      <c r="X20" s="200">
        <v>0.625</v>
      </c>
      <c r="Y20" s="191"/>
      <c r="Z20" s="191"/>
      <c r="AA20" s="191"/>
      <c r="AB20" s="191"/>
      <c r="AC20" s="191"/>
      <c r="AG20" s="206" t="s">
        <v>114</v>
      </c>
      <c r="AI20" s="101"/>
      <c r="AJ20" s="2"/>
      <c r="AK20" s="2"/>
      <c r="AL20" s="2"/>
      <c r="AM20" s="2"/>
    </row>
    <row r="21" spans="1:39" s="95" customFormat="1" ht="15" customHeight="1" x14ac:dyDescent="0.2">
      <c r="A21" s="218"/>
      <c r="B21" s="98"/>
      <c r="C21" s="201" t="str">
        <f>Tournament!H17</f>
        <v>Truthahn</v>
      </c>
      <c r="D21" s="202" t="s">
        <v>207</v>
      </c>
      <c r="E21" s="201" t="str">
        <f>"'Countries and Timezone'!"&amp;VLOOKUP(Tournament!AD29,$C$7:$D$38,2,FALSE)</f>
        <v>'Countries and Timezone'!B21</v>
      </c>
      <c r="F21" s="95">
        <v>15</v>
      </c>
      <c r="H21" s="95">
        <f t="shared" si="3"/>
        <v>11</v>
      </c>
      <c r="I21" s="188">
        <v>20</v>
      </c>
      <c r="J21" s="181" t="s">
        <v>206</v>
      </c>
      <c r="K21" s="181">
        <v>6</v>
      </c>
      <c r="L21" s="192">
        <v>0.25</v>
      </c>
      <c r="M21" s="188"/>
      <c r="N21" s="188"/>
      <c r="O21" s="195">
        <v>20</v>
      </c>
      <c r="P21" s="196">
        <f t="shared" si="1"/>
        <v>42538.75</v>
      </c>
      <c r="Q21" s="197">
        <v>42538.75</v>
      </c>
      <c r="R21" s="198">
        <f t="shared" si="2"/>
        <v>42538.75</v>
      </c>
      <c r="T21" s="191"/>
      <c r="U21" s="191"/>
      <c r="V21" s="191"/>
      <c r="W21" s="199">
        <v>42538</v>
      </c>
      <c r="X21" s="200">
        <v>0.75</v>
      </c>
      <c r="Y21" s="191"/>
      <c r="Z21" s="191"/>
      <c r="AA21" s="191"/>
      <c r="AB21" s="191"/>
      <c r="AC21" s="191"/>
      <c r="AG21" s="204" t="s">
        <v>115</v>
      </c>
      <c r="AI21" s="100"/>
      <c r="AJ21" s="2"/>
      <c r="AK21" s="2"/>
      <c r="AL21" s="2"/>
      <c r="AM21" s="2"/>
    </row>
    <row r="22" spans="1:39" s="95" customFormat="1" ht="15" customHeight="1" x14ac:dyDescent="0.2">
      <c r="A22" s="218"/>
      <c r="B22" s="98"/>
      <c r="C22" s="201" t="str">
        <f>Tournament!N17</f>
        <v>Kroatien</v>
      </c>
      <c r="D22" s="202" t="s">
        <v>209</v>
      </c>
      <c r="E22" s="201" t="str">
        <f>"'Countries and Timezone'!"&amp;VLOOKUP(Tournament!AD30,$C$7:$D$38,2,FALSE)</f>
        <v>'Countries and Timezone'!B20</v>
      </c>
      <c r="F22" s="95">
        <v>16</v>
      </c>
      <c r="H22" s="95">
        <f t="shared" si="3"/>
        <v>6</v>
      </c>
      <c r="I22" s="188">
        <v>21</v>
      </c>
      <c r="J22" s="181" t="s">
        <v>208</v>
      </c>
      <c r="K22" s="181">
        <v>1</v>
      </c>
      <c r="L22" s="192">
        <v>4.1666666666666664E-2</v>
      </c>
      <c r="M22" s="188"/>
      <c r="N22" s="188"/>
      <c r="O22" s="195">
        <v>21</v>
      </c>
      <c r="P22" s="196">
        <f t="shared" si="1"/>
        <v>42538.875</v>
      </c>
      <c r="Q22" s="197">
        <v>42538.875</v>
      </c>
      <c r="R22" s="198">
        <f t="shared" si="2"/>
        <v>42538.875</v>
      </c>
      <c r="T22" s="191"/>
      <c r="U22" s="191"/>
      <c r="V22" s="191"/>
      <c r="W22" s="199">
        <v>42538</v>
      </c>
      <c r="X22" s="200">
        <v>0.875</v>
      </c>
      <c r="Y22" s="191"/>
      <c r="Z22" s="191"/>
      <c r="AA22" s="191"/>
      <c r="AB22" s="191"/>
      <c r="AC22" s="191"/>
      <c r="AG22" s="95" t="s">
        <v>116</v>
      </c>
      <c r="AI22" s="2"/>
      <c r="AJ22" s="2"/>
      <c r="AK22" s="2"/>
      <c r="AL22" s="2"/>
      <c r="AM22" s="2"/>
    </row>
    <row r="23" spans="1:39" s="95" customFormat="1" ht="15" customHeight="1" x14ac:dyDescent="0.2">
      <c r="A23" s="218" t="s">
        <v>211</v>
      </c>
      <c r="B23" s="98"/>
      <c r="C23" s="201" t="str">
        <f>Tournament!H22</f>
        <v>Belgien</v>
      </c>
      <c r="D23" s="202" t="s">
        <v>212</v>
      </c>
      <c r="E23" s="201" t="str">
        <f>"'Countries and Timezone'!"&amp;VLOOKUP(Tournament!AD32,$C$7:$D$38,2,FALSE)</f>
        <v>'Countries and Timezone'!B24</v>
      </c>
      <c r="F23" s="95">
        <v>17</v>
      </c>
      <c r="H23" s="95">
        <f t="shared" si="3"/>
        <v>5</v>
      </c>
      <c r="I23" s="188">
        <v>22</v>
      </c>
      <c r="J23" s="181" t="s">
        <v>210</v>
      </c>
      <c r="K23" s="181">
        <v>0</v>
      </c>
      <c r="L23" s="192">
        <v>0</v>
      </c>
      <c r="M23" s="188"/>
      <c r="N23" s="188"/>
      <c r="O23" s="195">
        <v>22</v>
      </c>
      <c r="P23" s="196">
        <f t="shared" si="1"/>
        <v>42539.625</v>
      </c>
      <c r="Q23" s="197">
        <v>42539.625</v>
      </c>
      <c r="R23" s="198">
        <f t="shared" si="2"/>
        <v>42539.625</v>
      </c>
      <c r="T23" s="191"/>
      <c r="U23" s="191"/>
      <c r="V23" s="191"/>
      <c r="W23" s="199">
        <v>42539</v>
      </c>
      <c r="X23" s="200">
        <v>0.625</v>
      </c>
      <c r="Y23" s="191"/>
      <c r="Z23" s="191"/>
      <c r="AA23" s="191"/>
      <c r="AB23" s="191"/>
      <c r="AC23" s="191"/>
      <c r="AG23" s="95" t="s">
        <v>117</v>
      </c>
      <c r="AI23" s="2"/>
      <c r="AJ23" s="2"/>
      <c r="AK23" s="2"/>
      <c r="AL23" s="2"/>
      <c r="AM23" s="2"/>
    </row>
    <row r="24" spans="1:39" s="95" customFormat="1" ht="15" customHeight="1" x14ac:dyDescent="0.2">
      <c r="A24" s="218"/>
      <c r="B24" s="98"/>
      <c r="C24" s="201" t="str">
        <f>Tournament!N22</f>
        <v>Italien</v>
      </c>
      <c r="D24" s="202" t="s">
        <v>214</v>
      </c>
      <c r="E24" s="201" t="str">
        <f>"'Countries and Timezone'!"&amp;VLOOKUP(Tournament!AD33,$C$7:$D$38,2,FALSE)</f>
        <v>'Countries and Timezone'!B23</v>
      </c>
      <c r="F24" s="95">
        <v>18</v>
      </c>
      <c r="H24" s="95">
        <f t="shared" si="3"/>
        <v>5</v>
      </c>
      <c r="I24" s="188">
        <v>23</v>
      </c>
      <c r="J24" s="181" t="s">
        <v>213</v>
      </c>
      <c r="K24" s="181">
        <v>0</v>
      </c>
      <c r="L24" s="192">
        <v>0</v>
      </c>
      <c r="M24" s="188"/>
      <c r="N24" s="188"/>
      <c r="O24" s="195">
        <v>23</v>
      </c>
      <c r="P24" s="196">
        <f t="shared" si="1"/>
        <v>42539.75</v>
      </c>
      <c r="Q24" s="197">
        <v>42539.75</v>
      </c>
      <c r="R24" s="198">
        <f t="shared" si="2"/>
        <v>42539.75</v>
      </c>
      <c r="T24" s="191"/>
      <c r="U24" s="191"/>
      <c r="V24" s="191"/>
      <c r="W24" s="199">
        <v>42539</v>
      </c>
      <c r="X24" s="200">
        <v>0.75</v>
      </c>
      <c r="Y24" s="191"/>
      <c r="Z24" s="191"/>
      <c r="AA24" s="191"/>
      <c r="AB24" s="191"/>
      <c r="AC24" s="191"/>
      <c r="AE24" s="95">
        <f>SUM(Tournament!AC27:AC30)</f>
        <v>0</v>
      </c>
      <c r="AG24" s="95" t="s">
        <v>17</v>
      </c>
      <c r="AI24" s="2"/>
      <c r="AJ24" s="2"/>
      <c r="AK24" s="2"/>
      <c r="AL24" s="2"/>
      <c r="AM24" s="2"/>
    </row>
    <row r="25" spans="1:39" s="95" customFormat="1" ht="15" customHeight="1" x14ac:dyDescent="0.2">
      <c r="A25" s="218"/>
      <c r="B25" s="98"/>
      <c r="C25" s="201" t="str">
        <f>Tournament!H21</f>
        <v>Irische Republik</v>
      </c>
      <c r="D25" s="202" t="s">
        <v>216</v>
      </c>
      <c r="E25" s="201" t="str">
        <f>"'Countries and Timezone'!"&amp;VLOOKUP(Tournament!AD34,$C$7:$D$38,2,FALSE)</f>
        <v>'Countries and Timezone'!B25</v>
      </c>
      <c r="F25" s="95">
        <v>19</v>
      </c>
      <c r="H25" s="95">
        <f t="shared" si="3"/>
        <v>-2</v>
      </c>
      <c r="I25" s="188">
        <v>24</v>
      </c>
      <c r="J25" s="181" t="s">
        <v>215</v>
      </c>
      <c r="K25" s="181">
        <v>-7</v>
      </c>
      <c r="L25" s="192">
        <v>0.29166666666666669</v>
      </c>
      <c r="M25" s="188"/>
      <c r="N25" s="188"/>
      <c r="O25" s="195">
        <v>24</v>
      </c>
      <c r="P25" s="196">
        <f t="shared" si="1"/>
        <v>42539.875</v>
      </c>
      <c r="Q25" s="197">
        <v>42539.875</v>
      </c>
      <c r="R25" s="198">
        <f t="shared" si="2"/>
        <v>42539.875</v>
      </c>
      <c r="T25" s="191"/>
      <c r="U25" s="191"/>
      <c r="V25" s="191"/>
      <c r="W25" s="199">
        <v>42539</v>
      </c>
      <c r="X25" s="200">
        <v>0.875</v>
      </c>
      <c r="Y25" s="191"/>
      <c r="Z25" s="191"/>
      <c r="AA25" s="191"/>
      <c r="AB25" s="191"/>
      <c r="AC25" s="191"/>
      <c r="AG25" s="204" t="s">
        <v>118</v>
      </c>
      <c r="AI25" s="100"/>
      <c r="AJ25" s="2"/>
      <c r="AK25" s="2"/>
      <c r="AL25" s="2"/>
      <c r="AM25" s="2"/>
    </row>
    <row r="26" spans="1:39" s="95" customFormat="1" ht="15" customHeight="1" x14ac:dyDescent="0.2">
      <c r="A26" s="218"/>
      <c r="B26" s="98"/>
      <c r="C26" s="201" t="str">
        <f>Tournament!N21</f>
        <v>Schweden</v>
      </c>
      <c r="D26" s="202" t="s">
        <v>218</v>
      </c>
      <c r="E26" s="201" t="str">
        <f>"'Countries and Timezone'!"&amp;VLOOKUP(Tournament!AD35,$C$7:$D$38,2,FALSE)</f>
        <v>'Countries and Timezone'!B26</v>
      </c>
      <c r="F26" s="95">
        <v>20</v>
      </c>
      <c r="H26" s="95">
        <f t="shared" si="3"/>
        <v>-1</v>
      </c>
      <c r="I26" s="188">
        <v>25</v>
      </c>
      <c r="J26" s="181" t="s">
        <v>217</v>
      </c>
      <c r="K26" s="181">
        <v>-6</v>
      </c>
      <c r="L26" s="192">
        <v>0.25</v>
      </c>
      <c r="M26" s="188"/>
      <c r="N26" s="188"/>
      <c r="O26" s="195">
        <v>25</v>
      </c>
      <c r="P26" s="196">
        <f t="shared" si="1"/>
        <v>42540.875</v>
      </c>
      <c r="Q26" s="197">
        <v>42540.875</v>
      </c>
      <c r="R26" s="198">
        <f t="shared" si="2"/>
        <v>42540.875</v>
      </c>
      <c r="T26" s="191"/>
      <c r="U26" s="191"/>
      <c r="V26" s="191"/>
      <c r="W26" s="199">
        <v>42540</v>
      </c>
      <c r="X26" s="200">
        <v>0.875</v>
      </c>
      <c r="Y26" s="191"/>
      <c r="Z26" s="191"/>
      <c r="AA26" s="191"/>
      <c r="AB26" s="191"/>
      <c r="AC26" s="191"/>
      <c r="AG26" s="204" t="s">
        <v>119</v>
      </c>
      <c r="AI26" s="100"/>
      <c r="AJ26" s="2"/>
      <c r="AK26" s="2"/>
      <c r="AL26" s="2"/>
      <c r="AM26" s="2"/>
    </row>
    <row r="27" spans="1:39" s="95" customFormat="1" ht="15" customHeight="1" x14ac:dyDescent="0.2">
      <c r="A27" s="218" t="s">
        <v>219</v>
      </c>
      <c r="B27" s="98"/>
      <c r="C27" s="201" t="str">
        <f>Tournament!H24</f>
        <v>Portugal</v>
      </c>
      <c r="D27" s="202" t="s">
        <v>220</v>
      </c>
      <c r="E27" s="201" t="str">
        <f>"'Countries and Timezone'!"&amp;VLOOKUP(Tournament!AD37,$C$7:$D$38,2,FALSE)</f>
        <v>'Countries and Timezone'!B30</v>
      </c>
      <c r="F27" s="95">
        <v>21</v>
      </c>
      <c r="H27" s="95">
        <f t="shared" si="3"/>
        <v>0</v>
      </c>
      <c r="I27" s="188">
        <v>26</v>
      </c>
      <c r="J27" s="181" t="s">
        <v>164</v>
      </c>
      <c r="K27" s="181">
        <v>-5</v>
      </c>
      <c r="L27" s="192">
        <v>0.20833333333333334</v>
      </c>
      <c r="M27" s="188"/>
      <c r="N27" s="188"/>
      <c r="O27" s="195">
        <v>26</v>
      </c>
      <c r="P27" s="196">
        <f t="shared" si="1"/>
        <v>42540.875</v>
      </c>
      <c r="Q27" s="197">
        <v>42540.875</v>
      </c>
      <c r="R27" s="198">
        <f t="shared" si="2"/>
        <v>42540.875</v>
      </c>
      <c r="T27" s="191"/>
      <c r="U27" s="191"/>
      <c r="V27" s="191"/>
      <c r="W27" s="199">
        <v>42540</v>
      </c>
      <c r="X27" s="200">
        <v>0.875</v>
      </c>
      <c r="Y27" s="191"/>
      <c r="Z27" s="191"/>
      <c r="AA27" s="191"/>
      <c r="AB27" s="191"/>
      <c r="AC27" s="191"/>
      <c r="AG27" s="95" t="s">
        <v>120</v>
      </c>
      <c r="AI27" s="2"/>
      <c r="AJ27" s="2"/>
      <c r="AK27" s="2"/>
      <c r="AL27" s="2"/>
      <c r="AM27" s="2"/>
    </row>
    <row r="28" spans="1:39" s="95" customFormat="1" ht="15" customHeight="1" x14ac:dyDescent="0.25">
      <c r="A28" s="218"/>
      <c r="B28" s="98"/>
      <c r="C28" s="201" t="str">
        <f>Tournament!N24</f>
        <v>Island</v>
      </c>
      <c r="D28" s="202" t="s">
        <v>222</v>
      </c>
      <c r="E28" s="201" t="str">
        <f>"'Countries and Timezone'!"&amp;VLOOKUP(Tournament!AD38,$C$7:$D$38,2,FALSE)</f>
        <v>'Countries and Timezone'!B28</v>
      </c>
      <c r="F28" s="95">
        <v>22</v>
      </c>
      <c r="H28" s="95">
        <f t="shared" si="3"/>
        <v>13</v>
      </c>
      <c r="I28" s="188">
        <v>27</v>
      </c>
      <c r="J28" s="181" t="s">
        <v>221</v>
      </c>
      <c r="K28" s="181">
        <v>8</v>
      </c>
      <c r="L28" s="192">
        <v>0.33333333333333331</v>
      </c>
      <c r="M28" s="188"/>
      <c r="N28" s="188"/>
      <c r="O28" s="195">
        <v>27</v>
      </c>
      <c r="P28" s="196">
        <f t="shared" si="1"/>
        <v>42541.875</v>
      </c>
      <c r="Q28" s="197">
        <v>42541.875</v>
      </c>
      <c r="R28" s="198">
        <f t="shared" si="2"/>
        <v>42541.875</v>
      </c>
      <c r="T28" s="191"/>
      <c r="U28" s="191"/>
      <c r="V28" s="191"/>
      <c r="W28" s="199">
        <v>42541</v>
      </c>
      <c r="X28" s="200">
        <v>0.875</v>
      </c>
      <c r="Y28" s="191"/>
      <c r="Z28" s="191"/>
      <c r="AA28" s="191"/>
      <c r="AB28" s="191"/>
      <c r="AC28" s="191"/>
      <c r="AG28" s="206" t="s">
        <v>121</v>
      </c>
      <c r="AI28" s="101"/>
      <c r="AJ28" s="2"/>
      <c r="AK28" s="2"/>
      <c r="AL28" s="2"/>
      <c r="AM28" s="2"/>
    </row>
    <row r="29" spans="1:39" s="95" customFormat="1" ht="15" customHeight="1" x14ac:dyDescent="0.25">
      <c r="A29" s="218"/>
      <c r="B29" s="98"/>
      <c r="C29" s="201" t="str">
        <f>Tournament!H23</f>
        <v>Österreich</v>
      </c>
      <c r="D29" s="202" t="s">
        <v>224</v>
      </c>
      <c r="E29" s="201" t="str">
        <f>"'Countries and Timezone'!"&amp;VLOOKUP(Tournament!AD39,$C$7:$D$38,2,FALSE)</f>
        <v>'Countries and Timezone'!B27</v>
      </c>
      <c r="F29" s="95">
        <v>23</v>
      </c>
      <c r="H29" s="95">
        <f t="shared" si="3"/>
        <v>5</v>
      </c>
      <c r="I29" s="188">
        <v>28</v>
      </c>
      <c r="J29" s="181" t="s">
        <v>223</v>
      </c>
      <c r="K29" s="181">
        <v>0</v>
      </c>
      <c r="L29" s="192">
        <v>0</v>
      </c>
      <c r="M29" s="188"/>
      <c r="N29" s="188"/>
      <c r="O29" s="195">
        <v>28</v>
      </c>
      <c r="P29" s="196">
        <f t="shared" si="1"/>
        <v>42541.875</v>
      </c>
      <c r="Q29" s="197">
        <v>42541.875</v>
      </c>
      <c r="R29" s="198">
        <f t="shared" si="2"/>
        <v>42541.875</v>
      </c>
      <c r="T29" s="191"/>
      <c r="U29" s="191"/>
      <c r="V29" s="191"/>
      <c r="W29" s="199">
        <v>42541</v>
      </c>
      <c r="X29" s="200">
        <v>0.875</v>
      </c>
      <c r="Y29" s="191"/>
      <c r="Z29" s="191"/>
      <c r="AA29" s="191"/>
      <c r="AB29" s="191"/>
      <c r="AC29" s="191"/>
      <c r="AG29" s="206" t="s">
        <v>122</v>
      </c>
      <c r="AI29" s="101"/>
      <c r="AJ29" s="2"/>
      <c r="AK29" s="2"/>
      <c r="AL29" s="2"/>
      <c r="AM29" s="2"/>
    </row>
    <row r="30" spans="1:39" s="95" customFormat="1" ht="15" customHeight="1" x14ac:dyDescent="0.2">
      <c r="A30" s="218"/>
      <c r="B30" s="98"/>
      <c r="C30" s="201" t="str">
        <f>Tournament!N23</f>
        <v>Ungarn</v>
      </c>
      <c r="D30" s="202" t="s">
        <v>226</v>
      </c>
      <c r="E30" s="201" t="str">
        <f>"'Countries and Timezone'!"&amp;VLOOKUP(Tournament!AD40,$C$7:$D$38,2,FALSE)</f>
        <v>'Countries and Timezone'!B29</v>
      </c>
      <c r="F30" s="95">
        <v>24</v>
      </c>
      <c r="H30" s="95">
        <f t="shared" si="3"/>
        <v>6</v>
      </c>
      <c r="I30" s="188">
        <v>29</v>
      </c>
      <c r="J30" s="181" t="s">
        <v>225</v>
      </c>
      <c r="K30" s="181">
        <v>1</v>
      </c>
      <c r="L30" s="192">
        <v>4.1666666666666664E-2</v>
      </c>
      <c r="M30" s="188"/>
      <c r="N30" s="188"/>
      <c r="O30" s="195">
        <v>29</v>
      </c>
      <c r="P30" s="196">
        <f t="shared" si="1"/>
        <v>42542.75</v>
      </c>
      <c r="Q30" s="197">
        <v>42542.75</v>
      </c>
      <c r="R30" s="198">
        <f t="shared" si="2"/>
        <v>42542.75</v>
      </c>
      <c r="T30" s="191"/>
      <c r="U30" s="191"/>
      <c r="V30" s="191"/>
      <c r="W30" s="199">
        <v>42542</v>
      </c>
      <c r="X30" s="200">
        <v>0.75</v>
      </c>
      <c r="Y30" s="191"/>
      <c r="Z30" s="191"/>
      <c r="AA30" s="191"/>
      <c r="AB30" s="191"/>
      <c r="AC30" s="191"/>
      <c r="AE30" s="95">
        <f>SUM(Tournament!AC32:AC35)</f>
        <v>0</v>
      </c>
      <c r="AG30" s="95" t="s">
        <v>123</v>
      </c>
      <c r="AI30" s="2"/>
      <c r="AJ30" s="2"/>
      <c r="AK30" s="2"/>
      <c r="AL30" s="2"/>
      <c r="AM30" s="2"/>
    </row>
    <row r="31" spans="1:39" s="95" customFormat="1" ht="15" customHeight="1" x14ac:dyDescent="0.2">
      <c r="A31" s="218" t="s">
        <v>228</v>
      </c>
      <c r="B31" s="98"/>
      <c r="C31" s="201"/>
      <c r="D31" s="202"/>
      <c r="E31" s="201"/>
      <c r="H31" s="95">
        <f t="shared" si="3"/>
        <v>5</v>
      </c>
      <c r="I31" s="188">
        <v>30</v>
      </c>
      <c r="J31" s="181" t="s">
        <v>227</v>
      </c>
      <c r="K31" s="181">
        <v>0</v>
      </c>
      <c r="L31" s="192">
        <v>0</v>
      </c>
      <c r="M31" s="188"/>
      <c r="N31" s="188"/>
      <c r="O31" s="195">
        <v>30</v>
      </c>
      <c r="P31" s="196">
        <f t="shared" si="1"/>
        <v>42542.75</v>
      </c>
      <c r="Q31" s="197">
        <v>42542.75</v>
      </c>
      <c r="R31" s="198">
        <f t="shared" si="2"/>
        <v>42542.75</v>
      </c>
      <c r="T31" s="191"/>
      <c r="U31" s="191"/>
      <c r="V31" s="191"/>
      <c r="W31" s="199">
        <v>42542</v>
      </c>
      <c r="X31" s="200">
        <v>0.75</v>
      </c>
      <c r="Y31" s="191"/>
      <c r="Z31" s="191"/>
      <c r="AA31" s="191"/>
      <c r="AB31" s="191"/>
      <c r="AC31" s="191"/>
      <c r="AI31" s="2"/>
      <c r="AJ31" s="2"/>
      <c r="AK31" s="2"/>
      <c r="AL31" s="2"/>
      <c r="AM31" s="2"/>
    </row>
    <row r="32" spans="1:39" s="95" customFormat="1" ht="15" customHeight="1" x14ac:dyDescent="0.2">
      <c r="A32" s="218"/>
      <c r="B32" s="98"/>
      <c r="C32" s="201"/>
      <c r="D32" s="202"/>
      <c r="E32" s="201"/>
      <c r="H32" s="95">
        <f t="shared" si="3"/>
        <v>0</v>
      </c>
      <c r="I32" s="188">
        <v>31</v>
      </c>
      <c r="J32" s="181" t="s">
        <v>229</v>
      </c>
      <c r="K32" s="181">
        <v>-5</v>
      </c>
      <c r="L32" s="192">
        <v>0.20833333333333334</v>
      </c>
      <c r="M32" s="188"/>
      <c r="N32" s="188"/>
      <c r="O32" s="195">
        <v>31</v>
      </c>
      <c r="P32" s="196">
        <f t="shared" si="1"/>
        <v>42542.875</v>
      </c>
      <c r="Q32" s="197">
        <v>42542.875</v>
      </c>
      <c r="R32" s="198">
        <f t="shared" si="2"/>
        <v>42542.875</v>
      </c>
      <c r="T32" s="191"/>
      <c r="U32" s="191"/>
      <c r="V32" s="191"/>
      <c r="W32" s="199">
        <v>42542</v>
      </c>
      <c r="X32" s="200">
        <v>0.875</v>
      </c>
      <c r="Y32" s="191"/>
      <c r="Z32" s="191"/>
      <c r="AA32" s="191"/>
      <c r="AB32" s="191"/>
      <c r="AC32" s="191"/>
      <c r="AG32" s="204"/>
      <c r="AI32" s="2"/>
      <c r="AJ32" s="2"/>
      <c r="AK32" s="2"/>
      <c r="AL32" s="2"/>
      <c r="AM32" s="2"/>
    </row>
    <row r="33" spans="1:39" s="95" customFormat="1" ht="15" customHeight="1" x14ac:dyDescent="0.2">
      <c r="A33" s="218"/>
      <c r="B33" s="98"/>
      <c r="C33" s="201"/>
      <c r="D33" s="202"/>
      <c r="E33" s="201"/>
      <c r="H33" s="95">
        <f t="shared" si="3"/>
        <v>5</v>
      </c>
      <c r="I33" s="188">
        <v>32</v>
      </c>
      <c r="J33" s="181" t="s">
        <v>230</v>
      </c>
      <c r="K33" s="181">
        <v>0</v>
      </c>
      <c r="L33" s="192">
        <v>0</v>
      </c>
      <c r="M33" s="188"/>
      <c r="N33" s="188"/>
      <c r="O33" s="195">
        <v>32</v>
      </c>
      <c r="P33" s="196">
        <f t="shared" si="1"/>
        <v>42542.875</v>
      </c>
      <c r="Q33" s="197">
        <v>42542.875</v>
      </c>
      <c r="R33" s="198">
        <f t="shared" si="2"/>
        <v>42542.875</v>
      </c>
      <c r="T33" s="191"/>
      <c r="U33" s="191"/>
      <c r="V33" s="191"/>
      <c r="W33" s="199">
        <v>42542</v>
      </c>
      <c r="X33" s="200">
        <v>0.875</v>
      </c>
      <c r="Y33" s="191"/>
      <c r="Z33" s="191"/>
      <c r="AA33" s="191"/>
      <c r="AB33" s="191"/>
      <c r="AC33" s="191"/>
      <c r="AG33" s="204"/>
      <c r="AI33" s="2"/>
      <c r="AJ33" s="2"/>
      <c r="AK33" s="2"/>
      <c r="AL33" s="2"/>
      <c r="AM33" s="2"/>
    </row>
    <row r="34" spans="1:39" s="95" customFormat="1" ht="15" customHeight="1" x14ac:dyDescent="0.2">
      <c r="A34" s="218"/>
      <c r="B34" s="98"/>
      <c r="C34" s="201"/>
      <c r="D34" s="202"/>
      <c r="E34" s="201"/>
      <c r="H34" s="95">
        <f t="shared" si="3"/>
        <v>13</v>
      </c>
      <c r="I34" s="188">
        <v>33</v>
      </c>
      <c r="J34" s="181" t="s">
        <v>231</v>
      </c>
      <c r="K34" s="181">
        <v>8</v>
      </c>
      <c r="L34" s="192">
        <v>0.33333333333333331</v>
      </c>
      <c r="M34" s="188"/>
      <c r="N34" s="188"/>
      <c r="O34" s="195">
        <v>33</v>
      </c>
      <c r="P34" s="196">
        <f t="shared" si="1"/>
        <v>42543.75</v>
      </c>
      <c r="Q34" s="197">
        <v>42543.75</v>
      </c>
      <c r="R34" s="198">
        <f t="shared" si="2"/>
        <v>42543.75</v>
      </c>
      <c r="T34" s="191"/>
      <c r="U34" s="191"/>
      <c r="V34" s="191"/>
      <c r="W34" s="199">
        <v>42543</v>
      </c>
      <c r="X34" s="200">
        <v>0.75</v>
      </c>
      <c r="Y34" s="191"/>
      <c r="Z34" s="191"/>
      <c r="AA34" s="191"/>
      <c r="AB34" s="191"/>
      <c r="AC34" s="191"/>
      <c r="AG34" s="204"/>
      <c r="AI34" s="2"/>
      <c r="AJ34" s="2"/>
      <c r="AK34" s="2"/>
      <c r="AL34" s="2"/>
      <c r="AM34" s="2"/>
    </row>
    <row r="35" spans="1:39" s="95" customFormat="1" ht="15" customHeight="1" x14ac:dyDescent="0.2">
      <c r="A35" s="218" t="s">
        <v>233</v>
      </c>
      <c r="B35" s="98"/>
      <c r="C35" s="201"/>
      <c r="D35" s="202"/>
      <c r="E35" s="201"/>
      <c r="H35" s="95">
        <f t="shared" si="3"/>
        <v>5</v>
      </c>
      <c r="I35" s="188">
        <v>34</v>
      </c>
      <c r="J35" s="181" t="s">
        <v>232</v>
      </c>
      <c r="K35" s="181">
        <v>0</v>
      </c>
      <c r="L35" s="192">
        <v>0</v>
      </c>
      <c r="M35" s="188"/>
      <c r="N35" s="188"/>
      <c r="O35" s="195">
        <v>34</v>
      </c>
      <c r="P35" s="196">
        <f t="shared" si="1"/>
        <v>42543.75</v>
      </c>
      <c r="Q35" s="197">
        <v>42543.75</v>
      </c>
      <c r="R35" s="198">
        <f t="shared" si="2"/>
        <v>42543.75</v>
      </c>
      <c r="T35" s="191"/>
      <c r="U35" s="191"/>
      <c r="V35" s="191"/>
      <c r="W35" s="199">
        <v>42543</v>
      </c>
      <c r="X35" s="200">
        <v>0.75</v>
      </c>
      <c r="Y35" s="191"/>
      <c r="Z35" s="191"/>
      <c r="AA35" s="191"/>
      <c r="AB35" s="191"/>
      <c r="AC35" s="191"/>
      <c r="AI35" s="2"/>
      <c r="AJ35" s="2"/>
      <c r="AK35" s="2"/>
      <c r="AL35" s="2"/>
      <c r="AM35" s="2"/>
    </row>
    <row r="36" spans="1:39" s="95" customFormat="1" ht="15" customHeight="1" x14ac:dyDescent="0.2">
      <c r="A36" s="218"/>
      <c r="B36" s="98"/>
      <c r="C36" s="201"/>
      <c r="D36" s="202"/>
      <c r="E36" s="201"/>
      <c r="H36" s="95">
        <f t="shared" si="3"/>
        <v>-1.5</v>
      </c>
      <c r="I36" s="188">
        <v>35</v>
      </c>
      <c r="J36" s="181" t="s">
        <v>234</v>
      </c>
      <c r="K36" s="181">
        <v>-6.5</v>
      </c>
      <c r="L36" s="192">
        <v>0.27083333333333331</v>
      </c>
      <c r="M36" s="188"/>
      <c r="N36" s="188"/>
      <c r="O36" s="195">
        <v>35</v>
      </c>
      <c r="P36" s="196">
        <f t="shared" si="1"/>
        <v>42543.875</v>
      </c>
      <c r="Q36" s="197">
        <v>42543.875</v>
      </c>
      <c r="R36" s="198">
        <f t="shared" si="2"/>
        <v>42543.875</v>
      </c>
      <c r="T36" s="191"/>
      <c r="U36" s="191"/>
      <c r="V36" s="191"/>
      <c r="W36" s="199">
        <v>42543</v>
      </c>
      <c r="X36" s="200">
        <v>0.875</v>
      </c>
      <c r="Y36" s="191"/>
      <c r="Z36" s="191"/>
      <c r="AA36" s="191"/>
      <c r="AB36" s="191"/>
      <c r="AC36" s="191"/>
      <c r="AE36" s="95">
        <f>SUM(Tournament!AC37:AC40)</f>
        <v>0</v>
      </c>
      <c r="AG36" s="204"/>
      <c r="AI36" s="2"/>
      <c r="AJ36" s="2"/>
      <c r="AK36" s="2"/>
      <c r="AL36" s="2"/>
      <c r="AM36" s="2"/>
    </row>
    <row r="37" spans="1:39" s="95" customFormat="1" ht="15" customHeight="1" x14ac:dyDescent="0.25">
      <c r="A37" s="218"/>
      <c r="B37" s="98"/>
      <c r="C37" s="201"/>
      <c r="D37" s="202"/>
      <c r="E37" s="201"/>
      <c r="H37" s="95">
        <f t="shared" si="3"/>
        <v>3</v>
      </c>
      <c r="I37" s="188">
        <v>36</v>
      </c>
      <c r="J37" s="181" t="s">
        <v>235</v>
      </c>
      <c r="K37" s="181">
        <v>-2</v>
      </c>
      <c r="L37" s="192">
        <v>8.3333333333333329E-2</v>
      </c>
      <c r="M37" s="188"/>
      <c r="N37" s="188"/>
      <c r="O37" s="195">
        <v>36</v>
      </c>
      <c r="P37" s="196">
        <f t="shared" si="1"/>
        <v>42543.875</v>
      </c>
      <c r="Q37" s="197">
        <v>42543.875</v>
      </c>
      <c r="R37" s="198">
        <f t="shared" si="2"/>
        <v>42543.875</v>
      </c>
      <c r="T37" s="191"/>
      <c r="U37" s="191"/>
      <c r="V37" s="191"/>
      <c r="W37" s="199">
        <v>42543</v>
      </c>
      <c r="X37" s="200">
        <v>0.875</v>
      </c>
      <c r="Y37" s="191"/>
      <c r="Z37" s="191"/>
      <c r="AA37" s="191"/>
      <c r="AB37" s="191"/>
      <c r="AC37" s="191"/>
      <c r="AG37" s="206"/>
      <c r="AI37" s="2"/>
      <c r="AJ37" s="2"/>
      <c r="AK37" s="2"/>
      <c r="AL37" s="2"/>
      <c r="AM37" s="2"/>
    </row>
    <row r="38" spans="1:39" s="95" customFormat="1" ht="15" customHeight="1" x14ac:dyDescent="0.2">
      <c r="A38" s="218"/>
      <c r="B38" s="98"/>
      <c r="C38" s="201"/>
      <c r="D38" s="202"/>
      <c r="E38" s="201"/>
      <c r="H38" s="95">
        <f t="shared" si="3"/>
        <v>-2</v>
      </c>
      <c r="I38" s="188">
        <v>37</v>
      </c>
      <c r="J38" s="181" t="s">
        <v>236</v>
      </c>
      <c r="K38" s="181">
        <v>-7</v>
      </c>
      <c r="L38" s="192">
        <v>0.29166666666666669</v>
      </c>
      <c r="M38" s="188"/>
      <c r="N38" s="188"/>
      <c r="O38" s="195">
        <v>37</v>
      </c>
      <c r="P38" s="196">
        <f t="shared" si="1"/>
        <v>42546.625</v>
      </c>
      <c r="Q38" s="207">
        <v>42546.625</v>
      </c>
      <c r="R38" s="198">
        <f t="shared" si="2"/>
        <v>42546.625</v>
      </c>
      <c r="T38" s="191"/>
      <c r="U38" s="191"/>
      <c r="V38" s="191"/>
      <c r="W38" s="191"/>
      <c r="X38" s="191"/>
      <c r="Y38" s="191"/>
      <c r="Z38" s="191"/>
      <c r="AA38" s="191"/>
      <c r="AB38" s="191"/>
      <c r="AC38" s="191"/>
      <c r="AG38" s="204"/>
      <c r="AI38" s="2"/>
      <c r="AJ38" s="2"/>
      <c r="AK38" s="2"/>
      <c r="AL38" s="2"/>
      <c r="AM38" s="2"/>
    </row>
    <row r="39" spans="1:39" s="95" customFormat="1" ht="15" customHeight="1" x14ac:dyDescent="0.2">
      <c r="B39" s="96"/>
      <c r="H39" s="95">
        <f t="shared" si="3"/>
        <v>5</v>
      </c>
      <c r="I39" s="188">
        <v>38</v>
      </c>
      <c r="J39" s="181" t="s">
        <v>237</v>
      </c>
      <c r="K39" s="181">
        <v>0</v>
      </c>
      <c r="L39" s="192">
        <v>0</v>
      </c>
      <c r="M39" s="188"/>
      <c r="N39" s="188"/>
      <c r="O39" s="195">
        <v>38</v>
      </c>
      <c r="P39" s="196">
        <f t="shared" si="1"/>
        <v>42546.75</v>
      </c>
      <c r="Q39" s="207">
        <v>42546.75</v>
      </c>
      <c r="R39" s="198">
        <f t="shared" si="2"/>
        <v>42546.75</v>
      </c>
      <c r="T39" s="191"/>
      <c r="U39" s="191"/>
      <c r="V39" s="191"/>
      <c r="W39" s="191"/>
      <c r="X39" s="191"/>
      <c r="Y39" s="191"/>
      <c r="Z39" s="191"/>
      <c r="AA39" s="191"/>
      <c r="AB39" s="191"/>
      <c r="AC39" s="191"/>
      <c r="AI39" s="2"/>
      <c r="AJ39" s="2"/>
      <c r="AK39" s="2"/>
      <c r="AL39" s="2"/>
      <c r="AM39" s="2"/>
    </row>
    <row r="40" spans="1:39" s="95" customFormat="1" ht="15" customHeight="1" x14ac:dyDescent="0.2">
      <c r="B40" s="96"/>
      <c r="C40" s="95" t="str">
        <f>Tournament!H54</f>
        <v>Schweiz</v>
      </c>
      <c r="E40" s="95" t="str">
        <f>IF(ISERROR("'Countries and Timezone'!"&amp;VLOOKUP(C40,'Countries and Timezone'!$C$7:$D$38,2,FALSE)),"'Countries and Timezone'!b39","'Countries and Timezone'!"&amp;VLOOKUP(C40,'Countries and Timezone'!$C$7:$D$38,2,FALSE))</f>
        <v>'Countries and Timezone'!B10</v>
      </c>
      <c r="H40" s="95">
        <f t="shared" si="3"/>
        <v>12.5</v>
      </c>
      <c r="I40" s="188">
        <v>39</v>
      </c>
      <c r="J40" s="181" t="s">
        <v>238</v>
      </c>
      <c r="K40" s="181">
        <v>7.5</v>
      </c>
      <c r="L40" s="192">
        <v>0.3125</v>
      </c>
      <c r="M40" s="188"/>
      <c r="N40" s="188"/>
      <c r="O40" s="195">
        <v>39</v>
      </c>
      <c r="P40" s="196">
        <f t="shared" si="1"/>
        <v>42546.875</v>
      </c>
      <c r="Q40" s="207">
        <v>42546.875</v>
      </c>
      <c r="R40" s="198">
        <f t="shared" si="2"/>
        <v>42546.875</v>
      </c>
      <c r="T40" s="191"/>
      <c r="U40" s="191"/>
      <c r="V40" s="191"/>
      <c r="W40" s="191"/>
      <c r="X40" s="191"/>
      <c r="Y40" s="191"/>
      <c r="Z40" s="191"/>
      <c r="AA40" s="191"/>
      <c r="AB40" s="191"/>
      <c r="AC40" s="191"/>
      <c r="AI40" s="2"/>
      <c r="AJ40" s="2"/>
      <c r="AK40" s="2"/>
      <c r="AL40" s="2"/>
      <c r="AM40" s="2"/>
    </row>
    <row r="41" spans="1:39" s="95" customFormat="1" ht="15" customHeight="1" x14ac:dyDescent="0.2">
      <c r="B41" s="96"/>
      <c r="C41" s="95" t="str">
        <f>Tournament!H55</f>
        <v>Polen</v>
      </c>
      <c r="E41" s="95" t="str">
        <f>IF(ISERROR("'Countries and Timezone'!"&amp;VLOOKUP(C41,'Countries and Timezone'!$C$7:$D$38,2,FALSE)),"'Countries and Timezone'!b39","'Countries and Timezone'!"&amp;VLOOKUP(C41,'Countries and Timezone'!$C$7:$D$38,2,FALSE))</f>
        <v>'Countries and Timezone'!B17</v>
      </c>
      <c r="H41" s="95">
        <f t="shared" si="3"/>
        <v>-3</v>
      </c>
      <c r="I41" s="188">
        <v>40</v>
      </c>
      <c r="J41" s="181" t="s">
        <v>239</v>
      </c>
      <c r="K41" s="181">
        <v>-8</v>
      </c>
      <c r="L41" s="192">
        <v>0.33333333333333331</v>
      </c>
      <c r="M41" s="188"/>
      <c r="N41" s="188"/>
      <c r="O41" s="195">
        <v>40</v>
      </c>
      <c r="P41" s="196">
        <f t="shared" si="1"/>
        <v>42547.625</v>
      </c>
      <c r="Q41" s="207">
        <v>42547.625</v>
      </c>
      <c r="R41" s="198">
        <f t="shared" si="2"/>
        <v>42547.625</v>
      </c>
      <c r="T41" s="191"/>
      <c r="U41" s="191"/>
      <c r="V41" s="191"/>
      <c r="W41" s="191"/>
      <c r="X41" s="191"/>
      <c r="Y41" s="191"/>
      <c r="Z41" s="191"/>
      <c r="AA41" s="191"/>
      <c r="AB41" s="191"/>
      <c r="AC41" s="191"/>
      <c r="AI41" s="2"/>
      <c r="AJ41" s="2"/>
      <c r="AK41" s="2"/>
      <c r="AL41" s="2"/>
      <c r="AM41" s="2"/>
    </row>
    <row r="42" spans="1:39" s="95" customFormat="1" ht="15" customHeight="1" x14ac:dyDescent="0.2">
      <c r="B42" s="96"/>
      <c r="C42" s="95" t="str">
        <f>Tournament!H66</f>
        <v>Wales</v>
      </c>
      <c r="E42" s="95" t="str">
        <f>IF(ISERROR("'Countries and Timezone'!"&amp;VLOOKUP(C42,'Countries and Timezone'!$C$7:$D$38,2,FALSE)),"'Countries and Timezone'!b39","'Countries and Timezone'!"&amp;VLOOKUP(C42,'Countries and Timezone'!$C$7:$D$38,2,FALSE))</f>
        <v>'Countries and Timezone'!B13</v>
      </c>
      <c r="H42" s="95">
        <f t="shared" si="3"/>
        <v>-1</v>
      </c>
      <c r="I42" s="188">
        <v>41</v>
      </c>
      <c r="J42" s="181" t="s">
        <v>240</v>
      </c>
      <c r="K42" s="181">
        <v>-6</v>
      </c>
      <c r="L42" s="192">
        <v>0.25</v>
      </c>
      <c r="M42" s="188"/>
      <c r="N42" s="188"/>
      <c r="O42" s="195">
        <v>41</v>
      </c>
      <c r="P42" s="196">
        <f t="shared" si="1"/>
        <v>42547.75</v>
      </c>
      <c r="Q42" s="207">
        <v>42547.75</v>
      </c>
      <c r="R42" s="198">
        <f t="shared" si="2"/>
        <v>42547.75</v>
      </c>
      <c r="T42" s="191"/>
      <c r="U42" s="191"/>
      <c r="V42" s="191"/>
      <c r="W42" s="191"/>
      <c r="X42" s="191"/>
      <c r="Y42" s="191"/>
      <c r="Z42" s="191"/>
      <c r="AA42" s="191"/>
      <c r="AB42" s="191"/>
      <c r="AC42" s="191"/>
      <c r="AE42" s="95">
        <f>SUM(Tournament!AC42:AC50)</f>
        <v>21</v>
      </c>
      <c r="AI42" s="2"/>
      <c r="AJ42" s="2"/>
      <c r="AK42" s="2"/>
      <c r="AL42" s="2"/>
      <c r="AM42" s="2"/>
    </row>
    <row r="43" spans="1:39" s="95" customFormat="1" ht="15" customHeight="1" x14ac:dyDescent="0.2">
      <c r="B43" s="96"/>
      <c r="C43" s="95" t="str">
        <f>Tournament!H67</f>
        <v>Nordirland</v>
      </c>
      <c r="E43" s="95" t="str">
        <f>IF(ISERROR("'Countries and Timezone'!"&amp;VLOOKUP(C43,'Countries and Timezone'!$C$7:$D$38,2,FALSE)),"'Countries and Timezone'!b39","'Countries and Timezone'!"&amp;VLOOKUP(C43,'Countries and Timezone'!$C$7:$D$38,2,FALSE))</f>
        <v>'Countries and Timezone'!B18</v>
      </c>
      <c r="H43" s="95">
        <f t="shared" si="3"/>
        <v>9</v>
      </c>
      <c r="I43" s="188">
        <v>42</v>
      </c>
      <c r="J43" s="181" t="s">
        <v>241</v>
      </c>
      <c r="K43" s="181">
        <v>4</v>
      </c>
      <c r="L43" s="192">
        <v>0.16666666666666666</v>
      </c>
      <c r="M43" s="188"/>
      <c r="N43" s="188"/>
      <c r="O43" s="195">
        <v>42</v>
      </c>
      <c r="P43" s="196">
        <f t="shared" si="1"/>
        <v>42547.875</v>
      </c>
      <c r="Q43" s="207">
        <v>42547.875</v>
      </c>
      <c r="R43" s="198">
        <f t="shared" si="2"/>
        <v>42547.875</v>
      </c>
      <c r="T43" s="191"/>
      <c r="U43" s="191"/>
      <c r="V43" s="191"/>
      <c r="W43" s="191"/>
      <c r="X43" s="191"/>
      <c r="Y43" s="191"/>
      <c r="Z43" s="191"/>
      <c r="AA43" s="191"/>
      <c r="AB43" s="191"/>
      <c r="AC43" s="191"/>
      <c r="AI43" s="2"/>
      <c r="AJ43" s="2"/>
      <c r="AK43" s="2"/>
      <c r="AL43" s="2"/>
      <c r="AM43" s="2"/>
    </row>
    <row r="44" spans="1:39" s="95" customFormat="1" ht="15" customHeight="1" x14ac:dyDescent="0.2">
      <c r="B44" s="96"/>
      <c r="C44" s="95" t="str">
        <f>Tournament!H60</f>
        <v>Kroatien</v>
      </c>
      <c r="E44" s="95" t="str">
        <f>IF(ISERROR("'Countries and Timezone'!"&amp;VLOOKUP(C44,'Countries and Timezone'!$C$7:$D$38,2,FALSE)),"'Countries and Timezone'!b39","'Countries and Timezone'!"&amp;VLOOKUP(C44,'Countries and Timezone'!$C$7:$D$38,2,FALSE))</f>
        <v>'Countries and Timezone'!B22</v>
      </c>
      <c r="H44" s="95">
        <f t="shared" si="3"/>
        <v>7</v>
      </c>
      <c r="I44" s="188">
        <v>43</v>
      </c>
      <c r="J44" s="181" t="s">
        <v>242</v>
      </c>
      <c r="K44" s="181">
        <v>2</v>
      </c>
      <c r="L44" s="192">
        <v>8.3333333333333329E-2</v>
      </c>
      <c r="M44" s="188"/>
      <c r="N44" s="188"/>
      <c r="O44" s="195">
        <v>43</v>
      </c>
      <c r="P44" s="196">
        <f t="shared" si="1"/>
        <v>42548.75</v>
      </c>
      <c r="Q44" s="207">
        <v>42548.75</v>
      </c>
      <c r="R44" s="198">
        <f t="shared" si="2"/>
        <v>42548.75</v>
      </c>
      <c r="T44" s="191"/>
      <c r="U44" s="191"/>
      <c r="V44" s="191"/>
      <c r="W44" s="191"/>
      <c r="X44" s="191"/>
      <c r="Y44" s="191"/>
      <c r="Z44" s="191"/>
      <c r="AA44" s="191"/>
      <c r="AB44" s="191"/>
      <c r="AC44" s="191"/>
      <c r="AI44" s="2"/>
      <c r="AJ44" s="2"/>
      <c r="AK44" s="2"/>
      <c r="AL44" s="2"/>
      <c r="AM44" s="2"/>
    </row>
    <row r="45" spans="1:39" s="95" customFormat="1" ht="15" customHeight="1" x14ac:dyDescent="0.2">
      <c r="B45" s="96"/>
      <c r="C45" s="95" t="str">
        <f>Tournament!H61</f>
        <v>Portugal</v>
      </c>
      <c r="E45" s="95" t="str">
        <f>IF(ISERROR("'Countries and Timezone'!"&amp;VLOOKUP(C45,'Countries and Timezone'!$C$7:$D$38,2,FALSE)),"'Countries and Timezone'!b39","'Countries and Timezone'!"&amp;VLOOKUP(C45,'Countries and Timezone'!$C$7:$D$38,2,FALSE))</f>
        <v>'Countries and Timezone'!B27</v>
      </c>
      <c r="H45" s="95">
        <f t="shared" si="3"/>
        <v>4</v>
      </c>
      <c r="I45" s="188">
        <v>44</v>
      </c>
      <c r="J45" s="181" t="s">
        <v>243</v>
      </c>
      <c r="K45" s="181">
        <v>-1</v>
      </c>
      <c r="L45" s="192">
        <v>4.1666666666666664E-2</v>
      </c>
      <c r="M45" s="188"/>
      <c r="N45" s="188"/>
      <c r="O45" s="195">
        <v>44</v>
      </c>
      <c r="P45" s="196">
        <f t="shared" si="1"/>
        <v>42548.875</v>
      </c>
      <c r="Q45" s="207">
        <v>42548.875</v>
      </c>
      <c r="R45" s="198">
        <f t="shared" si="2"/>
        <v>42548.875</v>
      </c>
      <c r="T45" s="191"/>
      <c r="U45" s="191"/>
      <c r="V45" s="191"/>
      <c r="W45" s="191"/>
      <c r="X45" s="191"/>
      <c r="Y45" s="191"/>
      <c r="Z45" s="191"/>
      <c r="AA45" s="191"/>
      <c r="AB45" s="191"/>
      <c r="AC45" s="191"/>
      <c r="AI45" s="2"/>
      <c r="AJ45" s="2"/>
      <c r="AK45" s="2"/>
      <c r="AL45" s="2"/>
      <c r="AM45" s="2"/>
    </row>
    <row r="46" spans="1:39" s="95" customFormat="1" ht="15" customHeight="1" x14ac:dyDescent="0.2">
      <c r="B46" s="96"/>
      <c r="C46" s="95" t="str">
        <f>Tournament!H90</f>
        <v>Frankreich</v>
      </c>
      <c r="E46" s="95" t="str">
        <f>IF(ISERROR("'Countries and Timezone'!"&amp;VLOOKUP(C46,'Countries and Timezone'!$C$7:$D$38,2,FALSE)),"'Countries and Timezone'!b39","'Countries and Timezone'!"&amp;VLOOKUP(C46,'Countries and Timezone'!$C$7:$D$38,2,FALSE))</f>
        <v>'Countries and Timezone'!B7</v>
      </c>
      <c r="H46" s="95">
        <f t="shared" si="3"/>
        <v>-3</v>
      </c>
      <c r="I46" s="188">
        <v>45</v>
      </c>
      <c r="J46" s="181" t="s">
        <v>244</v>
      </c>
      <c r="K46" s="181">
        <v>-8</v>
      </c>
      <c r="L46" s="192">
        <v>0.33333333333333331</v>
      </c>
      <c r="M46" s="188"/>
      <c r="N46" s="188"/>
      <c r="O46" s="195">
        <v>45</v>
      </c>
      <c r="P46" s="196">
        <f t="shared" si="1"/>
        <v>42551.875</v>
      </c>
      <c r="Q46" s="207">
        <v>42551.875</v>
      </c>
      <c r="R46" s="198">
        <f t="shared" si="2"/>
        <v>42551.875</v>
      </c>
      <c r="T46" s="191"/>
      <c r="U46" s="191"/>
      <c r="V46" s="191"/>
      <c r="W46" s="191"/>
      <c r="X46" s="191"/>
      <c r="Y46" s="191"/>
      <c r="Z46" s="191"/>
      <c r="AA46" s="191"/>
      <c r="AB46" s="191"/>
      <c r="AC46" s="191"/>
      <c r="AI46" s="2"/>
      <c r="AJ46" s="2"/>
      <c r="AK46" s="2"/>
      <c r="AL46" s="2"/>
      <c r="AM46" s="2"/>
    </row>
    <row r="47" spans="1:39" s="95" customFormat="1" ht="15" customHeight="1" x14ac:dyDescent="0.2">
      <c r="B47" s="96"/>
      <c r="C47" s="95" t="str">
        <f>Tournament!H91</f>
        <v>Irische Republik</v>
      </c>
      <c r="E47" s="95" t="str">
        <f>IF(ISERROR("'Countries and Timezone'!"&amp;VLOOKUP(C47,'Countries and Timezone'!$C$7:$D$38,2,FALSE)),"'Countries and Timezone'!b39","'Countries and Timezone'!"&amp;VLOOKUP(C47,'Countries and Timezone'!$C$7:$D$38,2,FALSE))</f>
        <v>'Countries and Timezone'!B25</v>
      </c>
      <c r="H47" s="95">
        <f t="shared" si="3"/>
        <v>5</v>
      </c>
      <c r="I47" s="188">
        <v>46</v>
      </c>
      <c r="J47" s="181" t="s">
        <v>245</v>
      </c>
      <c r="K47" s="181">
        <v>0</v>
      </c>
      <c r="L47" s="192">
        <v>0</v>
      </c>
      <c r="M47" s="188"/>
      <c r="N47" s="188"/>
      <c r="O47" s="195">
        <v>46</v>
      </c>
      <c r="P47" s="196">
        <f t="shared" si="1"/>
        <v>42552.875</v>
      </c>
      <c r="Q47" s="207">
        <v>42552.875</v>
      </c>
      <c r="R47" s="198">
        <f t="shared" si="2"/>
        <v>42552.875</v>
      </c>
      <c r="T47" s="191"/>
      <c r="U47" s="191"/>
      <c r="V47" s="191"/>
      <c r="W47" s="191"/>
      <c r="X47" s="191"/>
      <c r="Y47" s="191"/>
      <c r="Z47" s="191"/>
      <c r="AA47" s="191"/>
      <c r="AB47" s="191"/>
      <c r="AC47" s="191"/>
      <c r="AI47" s="2"/>
      <c r="AJ47" s="2"/>
      <c r="AK47" s="2"/>
      <c r="AL47" s="2"/>
      <c r="AM47" s="2"/>
    </row>
    <row r="48" spans="1:39" s="95" customFormat="1" ht="15" customHeight="1" x14ac:dyDescent="0.2">
      <c r="B48" s="96"/>
      <c r="C48" s="95" t="str">
        <f>Tournament!H78</f>
        <v>Deutschland</v>
      </c>
      <c r="E48" s="95" t="str">
        <f>IF(ISERROR("'Countries and Timezone'!"&amp;VLOOKUP(C48,'Countries and Timezone'!$C$7:$D$38,2,FALSE)),"'Countries and Timezone'!b39","'Countries and Timezone'!"&amp;VLOOKUP(C48,'Countries and Timezone'!$C$7:$D$38,2,FALSE))</f>
        <v>'Countries and Timezone'!B15</v>
      </c>
      <c r="H48" s="95">
        <f t="shared" si="3"/>
        <v>5</v>
      </c>
      <c r="I48" s="188">
        <v>47</v>
      </c>
      <c r="J48" s="181" t="s">
        <v>246</v>
      </c>
      <c r="K48" s="181">
        <v>0</v>
      </c>
      <c r="L48" s="192">
        <v>0</v>
      </c>
      <c r="M48" s="188"/>
      <c r="N48" s="188"/>
      <c r="O48" s="195">
        <v>47</v>
      </c>
      <c r="P48" s="196">
        <f t="shared" si="1"/>
        <v>42553.875</v>
      </c>
      <c r="Q48" s="207">
        <v>42553.875</v>
      </c>
      <c r="R48" s="198">
        <f t="shared" si="2"/>
        <v>42553.875</v>
      </c>
      <c r="T48" s="191"/>
      <c r="U48" s="191"/>
      <c r="V48" s="191"/>
      <c r="W48" s="191"/>
      <c r="X48" s="191"/>
      <c r="Y48" s="191"/>
      <c r="Z48" s="191"/>
      <c r="AA48" s="191"/>
      <c r="AB48" s="191"/>
      <c r="AC48" s="191"/>
      <c r="AE48" s="95">
        <f>SUM(Tournament!AC44:AC47)</f>
        <v>10</v>
      </c>
      <c r="AI48" s="2"/>
      <c r="AJ48" s="2"/>
      <c r="AK48" s="2"/>
      <c r="AL48" s="2"/>
      <c r="AM48" s="2"/>
    </row>
    <row r="49" spans="2:39" s="95" customFormat="1" ht="15" customHeight="1" x14ac:dyDescent="0.2">
      <c r="B49" s="96"/>
      <c r="C49" s="95" t="str">
        <f>Tournament!H79</f>
        <v>Slowakei</v>
      </c>
      <c r="E49" s="95" t="str">
        <f>IF(ISERROR("'Countries and Timezone'!"&amp;VLOOKUP(C49,'Countries and Timezone'!$C$7:$D$38,2,FALSE)),"'Countries and Timezone'!b39","'Countries and Timezone'!"&amp;VLOOKUP(C49,'Countries and Timezone'!$C$7:$D$38,2,FALSE))</f>
        <v>'Countries and Timezone'!B14</v>
      </c>
      <c r="H49" s="95">
        <f t="shared" si="3"/>
        <v>-3</v>
      </c>
      <c r="I49" s="188">
        <v>48</v>
      </c>
      <c r="J49" s="181" t="s">
        <v>247</v>
      </c>
      <c r="K49" s="181">
        <v>-8</v>
      </c>
      <c r="L49" s="192">
        <v>0.33333333333333331</v>
      </c>
      <c r="M49" s="188"/>
      <c r="N49" s="188"/>
      <c r="O49" s="195">
        <v>48</v>
      </c>
      <c r="P49" s="196">
        <f t="shared" si="1"/>
        <v>42554.875</v>
      </c>
      <c r="Q49" s="207">
        <v>42554.875</v>
      </c>
      <c r="R49" s="198">
        <f t="shared" si="2"/>
        <v>42554.875</v>
      </c>
      <c r="T49" s="191"/>
      <c r="U49" s="191"/>
      <c r="V49" s="191"/>
      <c r="W49" s="191"/>
      <c r="X49" s="191"/>
      <c r="Y49" s="191"/>
      <c r="Z49" s="191"/>
      <c r="AA49" s="191"/>
      <c r="AB49" s="191"/>
      <c r="AC49" s="191"/>
      <c r="AI49" s="2"/>
      <c r="AJ49" s="2"/>
      <c r="AK49" s="2"/>
      <c r="AL49" s="2"/>
      <c r="AM49" s="2"/>
    </row>
    <row r="50" spans="2:39" s="95" customFormat="1" ht="15" customHeight="1" x14ac:dyDescent="0.2">
      <c r="B50" s="96"/>
      <c r="C50" s="95" t="str">
        <f>Tournament!H72</f>
        <v>Ungarn</v>
      </c>
      <c r="E50" s="95" t="str">
        <f>IF(ISERROR("'Countries and Timezone'!"&amp;VLOOKUP(C50,'Countries and Timezone'!$C$7:$D$38,2,FALSE)),"'Countries and Timezone'!b39","'Countries and Timezone'!"&amp;VLOOKUP(C50,'Countries and Timezone'!$C$7:$D$38,2,FALSE))</f>
        <v>'Countries and Timezone'!B30</v>
      </c>
      <c r="H50" s="95">
        <f t="shared" si="3"/>
        <v>0</v>
      </c>
      <c r="I50" s="188">
        <v>49</v>
      </c>
      <c r="J50" s="181" t="s">
        <v>248</v>
      </c>
      <c r="K50" s="181">
        <v>-5</v>
      </c>
      <c r="L50" s="192">
        <v>0.20833333333333334</v>
      </c>
      <c r="M50" s="188"/>
      <c r="N50" s="188"/>
      <c r="O50" s="195">
        <v>49</v>
      </c>
      <c r="P50" s="196">
        <f t="shared" si="1"/>
        <v>42191.875</v>
      </c>
      <c r="Q50" s="207">
        <v>42191.875</v>
      </c>
      <c r="R50" s="198">
        <f t="shared" si="2"/>
        <v>42191.875</v>
      </c>
      <c r="T50" s="191"/>
      <c r="U50" s="191"/>
      <c r="V50" s="191"/>
      <c r="W50" s="191"/>
      <c r="X50" s="191"/>
      <c r="Y50" s="191"/>
      <c r="Z50" s="191"/>
      <c r="AA50" s="191"/>
      <c r="AB50" s="191"/>
      <c r="AC50" s="191"/>
      <c r="AI50" s="2"/>
      <c r="AJ50" s="2"/>
      <c r="AK50" s="2"/>
      <c r="AL50" s="2"/>
      <c r="AM50" s="2"/>
    </row>
    <row r="51" spans="2:39" s="95" customFormat="1" ht="15" customHeight="1" x14ac:dyDescent="0.2">
      <c r="B51" s="96"/>
      <c r="C51" s="95" t="str">
        <f>Tournament!H73</f>
        <v>Belgien</v>
      </c>
      <c r="E51" s="95" t="str">
        <f>IF(ISERROR("'Countries and Timezone'!"&amp;VLOOKUP(C51,'Countries and Timezone'!$C$7:$D$38,2,FALSE)),"'Countries and Timezone'!b39","'Countries and Timezone'!"&amp;VLOOKUP(C51,'Countries and Timezone'!$C$7:$D$38,2,FALSE))</f>
        <v>'Countries and Timezone'!B23</v>
      </c>
      <c r="H51" s="95">
        <f t="shared" si="3"/>
        <v>10</v>
      </c>
      <c r="I51" s="188">
        <v>50</v>
      </c>
      <c r="J51" s="181" t="s">
        <v>249</v>
      </c>
      <c r="K51" s="181">
        <v>5</v>
      </c>
      <c r="L51" s="192">
        <v>0.20833333333333334</v>
      </c>
      <c r="M51" s="188"/>
      <c r="N51" s="188"/>
      <c r="O51" s="195">
        <v>50</v>
      </c>
      <c r="P51" s="196">
        <f t="shared" si="1"/>
        <v>42192.875</v>
      </c>
      <c r="Q51" s="207">
        <v>42192.875</v>
      </c>
      <c r="R51" s="198">
        <f t="shared" si="2"/>
        <v>42192.875</v>
      </c>
      <c r="T51" s="191"/>
      <c r="U51" s="191"/>
      <c r="V51" s="191"/>
      <c r="W51" s="191"/>
      <c r="X51" s="191"/>
      <c r="Y51" s="191"/>
      <c r="Z51" s="191"/>
      <c r="AA51" s="191"/>
      <c r="AB51" s="191"/>
      <c r="AC51" s="191"/>
      <c r="AI51" s="2"/>
      <c r="AJ51" s="2"/>
      <c r="AK51" s="2"/>
      <c r="AL51" s="2"/>
      <c r="AM51" s="2"/>
    </row>
    <row r="52" spans="2:39" s="95" customFormat="1" ht="15" customHeight="1" x14ac:dyDescent="0.2">
      <c r="B52" s="96"/>
      <c r="C52" s="95" t="str">
        <f>Tournament!H84</f>
        <v>Italien</v>
      </c>
      <c r="E52" s="95" t="str">
        <f>IF(ISERROR("'Countries and Timezone'!"&amp;VLOOKUP(C52,'Countries and Timezone'!$C$7:$D$38,2,FALSE)),"'Countries and Timezone'!b39","'Countries and Timezone'!"&amp;VLOOKUP(C52,'Countries and Timezone'!$C$7:$D$38,2,FALSE))</f>
        <v>'Countries and Timezone'!B24</v>
      </c>
      <c r="H52" s="95">
        <f t="shared" si="3"/>
        <v>5</v>
      </c>
      <c r="I52" s="188">
        <v>51</v>
      </c>
      <c r="J52" s="181" t="s">
        <v>250</v>
      </c>
      <c r="K52" s="181">
        <v>0</v>
      </c>
      <c r="L52" s="192">
        <v>0</v>
      </c>
      <c r="M52" s="188"/>
      <c r="N52" s="188"/>
      <c r="O52" s="195">
        <v>51</v>
      </c>
      <c r="P52" s="196">
        <f t="shared" si="1"/>
        <v>42195.875</v>
      </c>
      <c r="Q52" s="207">
        <v>42195.875</v>
      </c>
      <c r="R52" s="198">
        <f t="shared" si="2"/>
        <v>42195.875</v>
      </c>
      <c r="T52" s="191"/>
      <c r="U52" s="191"/>
      <c r="V52" s="191"/>
      <c r="W52" s="191"/>
      <c r="X52" s="191"/>
      <c r="Y52" s="191"/>
      <c r="Z52" s="191"/>
      <c r="AA52" s="191"/>
      <c r="AB52" s="191"/>
      <c r="AC52" s="191"/>
      <c r="AI52" s="2"/>
      <c r="AJ52" s="2"/>
      <c r="AK52" s="2"/>
      <c r="AL52" s="2"/>
      <c r="AM52" s="2"/>
    </row>
    <row r="53" spans="2:39" s="95" customFormat="1" ht="15" customHeight="1" x14ac:dyDescent="0.2">
      <c r="B53" s="96"/>
      <c r="C53" s="95" t="str">
        <f>Tournament!H85</f>
        <v>Spanien</v>
      </c>
      <c r="E53" s="95" t="str">
        <f>IF(ISERROR("'Countries and Timezone'!"&amp;VLOOKUP(C53,'Countries and Timezone'!$C$7:$D$38,2,FALSE)),"'Countries and Timezone'!b39","'Countries and Timezone'!"&amp;VLOOKUP(C53,'Countries and Timezone'!$C$7:$D$38,2,FALSE))</f>
        <v>'Countries and Timezone'!B19</v>
      </c>
      <c r="H53" s="95">
        <f t="shared" si="3"/>
        <v>-1</v>
      </c>
      <c r="I53" s="188">
        <v>52</v>
      </c>
      <c r="J53" s="181" t="s">
        <v>251</v>
      </c>
      <c r="K53" s="181">
        <v>-6</v>
      </c>
      <c r="L53" s="192">
        <v>0.25</v>
      </c>
      <c r="M53" s="188"/>
      <c r="N53" s="188"/>
      <c r="O53" s="195">
        <v>52</v>
      </c>
      <c r="P53" s="196">
        <f t="shared" si="1"/>
        <v>0</v>
      </c>
      <c r="Q53" s="207"/>
      <c r="R53" s="198">
        <f t="shared" si="2"/>
        <v>0</v>
      </c>
      <c r="T53" s="185"/>
      <c r="U53" s="185"/>
      <c r="V53" s="185"/>
      <c r="W53" s="185"/>
      <c r="X53" s="185"/>
      <c r="Y53" s="185"/>
      <c r="Z53" s="185"/>
      <c r="AA53" s="185"/>
      <c r="AB53" s="185"/>
      <c r="AC53" s="185"/>
      <c r="AI53" s="2"/>
      <c r="AJ53" s="2"/>
      <c r="AK53" s="2"/>
      <c r="AL53" s="2"/>
      <c r="AM53" s="2"/>
    </row>
    <row r="54" spans="2:39" s="95" customFormat="1" ht="15" customHeight="1" x14ac:dyDescent="0.2">
      <c r="B54" s="96"/>
      <c r="C54" s="95" t="str">
        <f>Tournament!H96</f>
        <v>England</v>
      </c>
      <c r="E54" s="95" t="str">
        <f>IF(ISERROR("'Countries and Timezone'!"&amp;VLOOKUP(C54,'Countries and Timezone'!$C$7:$D$38,2,FALSE)),"'Countries and Timezone'!b39","'Countries and Timezone'!"&amp;VLOOKUP(C54,'Countries and Timezone'!$C$7:$D$38,2,FALSE))</f>
        <v>'Countries and Timezone'!B11</v>
      </c>
      <c r="H54" s="95">
        <f t="shared" si="3"/>
        <v>6</v>
      </c>
      <c r="I54" s="188">
        <v>53</v>
      </c>
      <c r="J54" s="181" t="s">
        <v>252</v>
      </c>
      <c r="K54" s="181">
        <v>1</v>
      </c>
      <c r="L54" s="192">
        <v>4.1666666666666664E-2</v>
      </c>
      <c r="M54" s="188"/>
      <c r="N54" s="188"/>
      <c r="O54" s="195">
        <v>53</v>
      </c>
      <c r="P54" s="196">
        <f t="shared" si="1"/>
        <v>0</v>
      </c>
      <c r="Q54" s="207"/>
      <c r="R54" s="198">
        <f t="shared" si="2"/>
        <v>0</v>
      </c>
      <c r="T54" s="191"/>
      <c r="U54" s="191"/>
      <c r="V54" s="191"/>
      <c r="W54" s="191"/>
      <c r="X54" s="191"/>
      <c r="Y54" s="191"/>
      <c r="Z54" s="191"/>
      <c r="AA54" s="191"/>
      <c r="AB54" s="191"/>
      <c r="AC54" s="191"/>
      <c r="AI54" s="2"/>
      <c r="AJ54" s="2"/>
      <c r="AK54" s="2"/>
      <c r="AL54" s="2"/>
      <c r="AM54" s="2"/>
    </row>
    <row r="55" spans="2:39" s="95" customFormat="1" ht="15" customHeight="1" x14ac:dyDescent="0.2">
      <c r="B55" s="96"/>
      <c r="C55" s="95" t="str">
        <f>Tournament!H97</f>
        <v>Island</v>
      </c>
      <c r="E55" s="95" t="str">
        <f>IF(ISERROR("'Countries and Timezone'!"&amp;VLOOKUP(C55,'Countries and Timezone'!$C$7:$D$38,2,FALSE)),"'Countries and Timezone'!b39","'Countries and Timezone'!"&amp;VLOOKUP(C55,'Countries and Timezone'!$C$7:$D$38,2,FALSE))</f>
        <v>'Countries and Timezone'!B28</v>
      </c>
      <c r="H55" s="95">
        <f t="shared" si="3"/>
        <v>11</v>
      </c>
      <c r="I55" s="188">
        <v>54</v>
      </c>
      <c r="J55" s="181" t="s">
        <v>253</v>
      </c>
      <c r="K55" s="181">
        <v>6</v>
      </c>
      <c r="L55" s="192">
        <v>0.25</v>
      </c>
      <c r="M55" s="188"/>
      <c r="N55" s="188"/>
      <c r="O55" s="195">
        <v>54</v>
      </c>
      <c r="P55" s="196">
        <f t="shared" si="1"/>
        <v>0</v>
      </c>
      <c r="Q55" s="207"/>
      <c r="R55" s="198">
        <f t="shared" si="2"/>
        <v>0</v>
      </c>
      <c r="T55" s="191"/>
      <c r="U55" s="191"/>
      <c r="V55" s="191"/>
      <c r="W55" s="191"/>
      <c r="X55" s="191"/>
      <c r="Y55" s="191"/>
      <c r="Z55" s="191"/>
      <c r="AA55" s="191"/>
      <c r="AB55" s="191"/>
      <c r="AC55" s="191"/>
      <c r="AI55" s="2"/>
      <c r="AJ55" s="2"/>
      <c r="AK55" s="2"/>
      <c r="AL55" s="2"/>
      <c r="AM55" s="2"/>
    </row>
    <row r="56" spans="2:39" s="95" customFormat="1" ht="15" customHeight="1" x14ac:dyDescent="0.2">
      <c r="B56" s="96"/>
      <c r="C56" s="95" t="str">
        <f>Tournament!N57</f>
        <v>Polen</v>
      </c>
      <c r="E56" s="95" t="str">
        <f>IF(ISERROR("'Countries and Timezone'!"&amp;VLOOKUP(C56,'Countries and Timezone'!$C$7:$D$38,2,FALSE)),"'Countries and Timezone'!b39","'Countries and Timezone'!"&amp;VLOOKUP(C56,'Countries and Timezone'!$C$7:$D$38,2,FALSE))</f>
        <v>'Countries and Timezone'!B17</v>
      </c>
      <c r="H56" s="95">
        <f t="shared" si="3"/>
        <v>-7</v>
      </c>
      <c r="I56" s="188">
        <v>55</v>
      </c>
      <c r="J56" s="181" t="s">
        <v>254</v>
      </c>
      <c r="K56" s="181">
        <v>-12</v>
      </c>
      <c r="L56" s="192">
        <v>0</v>
      </c>
      <c r="M56" s="188"/>
      <c r="N56" s="188"/>
      <c r="O56" s="195">
        <v>55</v>
      </c>
      <c r="P56" s="196">
        <f t="shared" si="1"/>
        <v>0</v>
      </c>
      <c r="Q56" s="207"/>
      <c r="R56" s="198">
        <f t="shared" si="2"/>
        <v>0</v>
      </c>
      <c r="T56" s="191"/>
      <c r="U56" s="191"/>
      <c r="V56" s="191"/>
      <c r="W56" s="191"/>
      <c r="X56" s="191"/>
      <c r="Y56" s="191"/>
      <c r="Z56" s="191"/>
      <c r="AA56" s="191"/>
      <c r="AB56" s="191"/>
      <c r="AC56" s="191"/>
      <c r="AI56" s="2"/>
      <c r="AJ56" s="2"/>
      <c r="AK56" s="2"/>
      <c r="AL56" s="2"/>
      <c r="AM56" s="2"/>
    </row>
    <row r="57" spans="2:39" s="95" customFormat="1" ht="15" customHeight="1" x14ac:dyDescent="0.2">
      <c r="B57" s="96"/>
      <c r="C57" s="95" t="str">
        <f>Tournament!N58</f>
        <v>Portugal</v>
      </c>
      <c r="E57" s="95" t="str">
        <f>IF(ISERROR("'Countries and Timezone'!"&amp;VLOOKUP(C57,'Countries and Timezone'!$C$7:$D$38,2,FALSE)),"'Countries and Timezone'!b39","'Countries and Timezone'!"&amp;VLOOKUP(C57,'Countries and Timezone'!$C$7:$D$38,2,FALSE))</f>
        <v>'Countries and Timezone'!B27</v>
      </c>
      <c r="H57" s="95">
        <f t="shared" si="3"/>
        <v>-2</v>
      </c>
      <c r="I57" s="188">
        <v>56</v>
      </c>
      <c r="J57" s="181" t="s">
        <v>255</v>
      </c>
      <c r="K57" s="181">
        <v>-7</v>
      </c>
      <c r="L57" s="192">
        <v>0.29166666666666669</v>
      </c>
      <c r="M57" s="188"/>
      <c r="N57" s="188"/>
      <c r="O57" s="195">
        <v>56</v>
      </c>
      <c r="P57" s="196">
        <f t="shared" si="1"/>
        <v>0</v>
      </c>
      <c r="Q57" s="207"/>
      <c r="R57" s="198">
        <f t="shared" si="2"/>
        <v>0</v>
      </c>
      <c r="T57" s="191"/>
      <c r="U57" s="191"/>
      <c r="V57" s="191"/>
      <c r="W57" s="191"/>
      <c r="X57" s="191"/>
      <c r="Y57" s="191"/>
      <c r="Z57" s="191"/>
      <c r="AA57" s="191"/>
      <c r="AB57" s="191"/>
      <c r="AC57" s="191"/>
      <c r="AI57" s="2"/>
      <c r="AJ57" s="2"/>
      <c r="AK57" s="2"/>
      <c r="AL57" s="2"/>
      <c r="AM57" s="2"/>
    </row>
    <row r="58" spans="2:39" s="95" customFormat="1" ht="15" customHeight="1" x14ac:dyDescent="0.2">
      <c r="B58" s="96"/>
      <c r="C58" s="95" t="str">
        <f>Tournament!N69</f>
        <v>Wales</v>
      </c>
      <c r="E58" s="95" t="str">
        <f>IF(ISERROR("'Countries and Timezone'!"&amp;VLOOKUP(C58,'Countries and Timezone'!$C$7:$D$38,2,FALSE)),"'Countries and Timezone'!b39","'Countries and Timezone'!"&amp;VLOOKUP(C58,'Countries and Timezone'!$C$7:$D$38,2,FALSE))</f>
        <v>'Countries and Timezone'!B13</v>
      </c>
      <c r="H58" s="95">
        <f t="shared" si="3"/>
        <v>-1</v>
      </c>
      <c r="I58" s="188">
        <v>57</v>
      </c>
      <c r="J58" s="181" t="s">
        <v>256</v>
      </c>
      <c r="K58" s="181">
        <v>-6</v>
      </c>
      <c r="L58" s="192">
        <v>0.25</v>
      </c>
      <c r="M58" s="188"/>
      <c r="N58" s="188"/>
      <c r="O58" s="195">
        <v>57</v>
      </c>
      <c r="P58" s="196">
        <f t="shared" si="1"/>
        <v>0</v>
      </c>
      <c r="Q58" s="207"/>
      <c r="R58" s="198">
        <f t="shared" si="2"/>
        <v>0</v>
      </c>
      <c r="T58" s="191"/>
      <c r="U58" s="191"/>
      <c r="V58" s="191"/>
      <c r="W58" s="191"/>
      <c r="X58" s="191"/>
      <c r="Y58" s="191"/>
      <c r="Z58" s="191"/>
      <c r="AA58" s="191"/>
      <c r="AB58" s="191"/>
      <c r="AC58" s="191"/>
      <c r="AI58" s="2"/>
      <c r="AJ58" s="2"/>
      <c r="AK58" s="2"/>
      <c r="AL58" s="2"/>
      <c r="AM58" s="2"/>
    </row>
    <row r="59" spans="2:39" s="95" customFormat="1" ht="15" customHeight="1" x14ac:dyDescent="0.2">
      <c r="B59" s="96"/>
      <c r="C59" s="95" t="str">
        <f>Tournament!N70</f>
        <v>Belgien</v>
      </c>
      <c r="E59" s="95" t="str">
        <f>IF(ISERROR("'Countries and Timezone'!"&amp;VLOOKUP(C59,'Countries and Timezone'!$C$7:$D$38,2,FALSE)),"'Countries and Timezone'!b39","'Countries and Timezone'!"&amp;VLOOKUP(C59,'Countries and Timezone'!$C$7:$D$38,2,FALSE))</f>
        <v>'Countries and Timezone'!B23</v>
      </c>
      <c r="H59" s="95">
        <f t="shared" si="3"/>
        <v>8</v>
      </c>
      <c r="I59" s="188">
        <v>58</v>
      </c>
      <c r="J59" s="181" t="s">
        <v>257</v>
      </c>
      <c r="K59" s="181">
        <v>3</v>
      </c>
      <c r="L59" s="192">
        <v>0.125</v>
      </c>
      <c r="M59" s="188"/>
      <c r="N59" s="188"/>
      <c r="O59" s="195">
        <v>58</v>
      </c>
      <c r="P59" s="196">
        <f t="shared" si="1"/>
        <v>0</v>
      </c>
      <c r="Q59" s="207"/>
      <c r="R59" s="198">
        <f t="shared" si="2"/>
        <v>0</v>
      </c>
      <c r="T59" s="191"/>
      <c r="U59" s="191"/>
      <c r="V59" s="191"/>
      <c r="W59" s="191"/>
      <c r="X59" s="191"/>
      <c r="Y59" s="191"/>
      <c r="Z59" s="191"/>
      <c r="AA59" s="191"/>
      <c r="AB59" s="191"/>
      <c r="AC59" s="191"/>
      <c r="AI59" s="2"/>
      <c r="AJ59" s="2"/>
      <c r="AK59" s="2"/>
      <c r="AL59" s="2"/>
      <c r="AM59" s="2"/>
    </row>
    <row r="60" spans="2:39" s="95" customFormat="1" ht="15" customHeight="1" x14ac:dyDescent="0.2">
      <c r="B60" s="96"/>
      <c r="C60" s="95" t="str">
        <f>Tournament!N81</f>
        <v>Deutschland</v>
      </c>
      <c r="E60" s="95" t="str">
        <f>IF(ISERROR("'Countries and Timezone'!"&amp;VLOOKUP(C60,'Countries and Timezone'!$C$7:$D$38,2,FALSE)),"'Countries and Timezone'!b39","'Countries and Timezone'!"&amp;VLOOKUP(C60,'Countries and Timezone'!$C$7:$D$38,2,FALSE))</f>
        <v>'Countries and Timezone'!B15</v>
      </c>
      <c r="H60" s="95">
        <f t="shared" si="3"/>
        <v>6</v>
      </c>
      <c r="I60" s="188">
        <v>59</v>
      </c>
      <c r="J60" s="181" t="s">
        <v>258</v>
      </c>
      <c r="K60" s="181">
        <v>1</v>
      </c>
      <c r="L60" s="192">
        <v>4.1666666666666664E-2</v>
      </c>
      <c r="M60" s="188"/>
      <c r="N60" s="188"/>
      <c r="O60" s="195">
        <v>59</v>
      </c>
      <c r="P60" s="196">
        <f t="shared" si="1"/>
        <v>0</v>
      </c>
      <c r="Q60" s="207"/>
      <c r="R60" s="198">
        <f t="shared" si="2"/>
        <v>0</v>
      </c>
      <c r="T60" s="191"/>
      <c r="U60" s="191"/>
      <c r="V60" s="191"/>
      <c r="W60" s="191"/>
      <c r="X60" s="191"/>
      <c r="Y60" s="191"/>
      <c r="Z60" s="191"/>
      <c r="AA60" s="191"/>
      <c r="AB60" s="191"/>
      <c r="AC60" s="191"/>
      <c r="AI60" s="2"/>
      <c r="AJ60" s="2"/>
      <c r="AK60" s="2"/>
      <c r="AL60" s="2"/>
      <c r="AM60" s="2"/>
    </row>
    <row r="61" spans="2:39" s="95" customFormat="1" ht="15" customHeight="1" x14ac:dyDescent="0.2">
      <c r="B61" s="96"/>
      <c r="C61" s="95" t="str">
        <f>Tournament!N82</f>
        <v>Italien</v>
      </c>
      <c r="E61" s="95" t="str">
        <f>IF(ISERROR("'Countries and Timezone'!"&amp;VLOOKUP(C61,'Countries and Timezone'!$C$7:$D$38,2,FALSE)),"'Countries and Timezone'!b39","'Countries and Timezone'!"&amp;VLOOKUP(C61,'Countries and Timezone'!$C$7:$D$38,2,FALSE))</f>
        <v>'Countries and Timezone'!B24</v>
      </c>
      <c r="H61" s="95">
        <f t="shared" si="3"/>
        <v>10</v>
      </c>
      <c r="I61" s="188">
        <v>60</v>
      </c>
      <c r="J61" s="181" t="s">
        <v>259</v>
      </c>
      <c r="K61" s="181">
        <v>5</v>
      </c>
      <c r="L61" s="192">
        <v>0.20833333333333334</v>
      </c>
      <c r="M61" s="188"/>
      <c r="N61" s="188"/>
      <c r="O61" s="195">
        <v>60</v>
      </c>
      <c r="P61" s="196">
        <f t="shared" si="1"/>
        <v>0</v>
      </c>
      <c r="Q61" s="207"/>
      <c r="R61" s="198">
        <f t="shared" si="2"/>
        <v>0</v>
      </c>
      <c r="T61" s="191"/>
      <c r="U61" s="191"/>
      <c r="V61" s="191"/>
      <c r="W61" s="191"/>
      <c r="X61" s="191"/>
      <c r="Y61" s="191"/>
      <c r="Z61" s="191"/>
      <c r="AA61" s="191"/>
      <c r="AB61" s="191"/>
      <c r="AC61" s="191"/>
      <c r="AI61" s="2"/>
      <c r="AJ61" s="2"/>
      <c r="AK61" s="2"/>
      <c r="AL61" s="2"/>
      <c r="AM61" s="2"/>
    </row>
    <row r="62" spans="2:39" s="95" customFormat="1" ht="15" customHeight="1" x14ac:dyDescent="0.2">
      <c r="B62" s="96"/>
      <c r="C62" s="95" t="str">
        <f>Tournament!N93</f>
        <v>Frankreich</v>
      </c>
      <c r="E62" s="95" t="str">
        <f>IF(ISERROR("'Countries and Timezone'!"&amp;VLOOKUP(C62,'Countries and Timezone'!$C$7:$D$38,2,FALSE)),"'Countries and Timezone'!b39","'Countries and Timezone'!"&amp;VLOOKUP(C62,'Countries and Timezone'!$C$7:$D$38,2,FALSE))</f>
        <v>'Countries and Timezone'!B7</v>
      </c>
      <c r="H62" s="95">
        <f t="shared" si="3"/>
        <v>6</v>
      </c>
      <c r="I62" s="188">
        <v>61</v>
      </c>
      <c r="J62" s="181" t="s">
        <v>260</v>
      </c>
      <c r="K62" s="181">
        <v>1</v>
      </c>
      <c r="L62" s="192">
        <v>4.1666666666666664E-2</v>
      </c>
      <c r="M62" s="188"/>
      <c r="N62" s="188"/>
      <c r="O62" s="195">
        <v>61</v>
      </c>
      <c r="P62" s="196">
        <f t="shared" si="1"/>
        <v>0</v>
      </c>
      <c r="Q62" s="207"/>
      <c r="R62" s="198">
        <f t="shared" si="2"/>
        <v>0</v>
      </c>
      <c r="T62" s="191"/>
      <c r="U62" s="191"/>
      <c r="V62" s="191"/>
      <c r="W62" s="191"/>
      <c r="X62" s="191"/>
      <c r="Y62" s="191"/>
      <c r="Z62" s="191"/>
      <c r="AA62" s="191"/>
      <c r="AB62" s="191"/>
      <c r="AC62" s="191"/>
      <c r="AI62" s="2"/>
      <c r="AJ62" s="2"/>
      <c r="AK62" s="2"/>
      <c r="AL62" s="2"/>
      <c r="AM62" s="2"/>
    </row>
    <row r="63" spans="2:39" s="95" customFormat="1" ht="15" customHeight="1" x14ac:dyDescent="0.2">
      <c r="B63" s="96"/>
      <c r="C63" s="95" t="str">
        <f>Tournament!N94</f>
        <v>Island</v>
      </c>
      <c r="E63" s="95" t="str">
        <f>IF(ISERROR("'Countries and Timezone'!"&amp;VLOOKUP(C63,'Countries and Timezone'!$C$7:$D$38,2,FALSE)),"'Countries and Timezone'!b39","'Countries and Timezone'!"&amp;VLOOKUP(C63,'Countries and Timezone'!$C$7:$D$38,2,FALSE))</f>
        <v>'Countries and Timezone'!B28</v>
      </c>
      <c r="H63" s="95">
        <f t="shared" si="3"/>
        <v>5</v>
      </c>
      <c r="I63" s="188">
        <v>62</v>
      </c>
      <c r="J63" s="181" t="s">
        <v>261</v>
      </c>
      <c r="K63" s="181">
        <v>0</v>
      </c>
      <c r="L63" s="192">
        <v>0</v>
      </c>
      <c r="M63" s="188"/>
      <c r="N63" s="188"/>
      <c r="O63" s="195">
        <v>62</v>
      </c>
      <c r="P63" s="196">
        <f t="shared" si="1"/>
        <v>0</v>
      </c>
      <c r="Q63" s="207"/>
      <c r="R63" s="198">
        <f t="shared" si="2"/>
        <v>0</v>
      </c>
      <c r="T63" s="191"/>
      <c r="U63" s="191"/>
      <c r="V63" s="191"/>
      <c r="W63" s="191"/>
      <c r="X63" s="191"/>
      <c r="Y63" s="191"/>
      <c r="Z63" s="191"/>
      <c r="AA63" s="191"/>
      <c r="AB63" s="191"/>
      <c r="AC63" s="191"/>
      <c r="AI63" s="2"/>
      <c r="AJ63" s="2"/>
      <c r="AK63" s="2"/>
      <c r="AL63" s="2"/>
      <c r="AM63" s="2"/>
    </row>
    <row r="64" spans="2:39" s="95" customFormat="1" ht="15" customHeight="1" x14ac:dyDescent="0.2">
      <c r="B64" s="96"/>
      <c r="C64" s="95" t="str">
        <f>Tournament!S63</f>
        <v>Portugal</v>
      </c>
      <c r="E64" s="95" t="str">
        <f>IF(ISERROR("'Countries and Timezone'!"&amp;VLOOKUP(C64,'Countries and Timezone'!$C$7:$D$38,2,FALSE)),"'Countries and Timezone'!b39","'Countries and Timezone'!"&amp;VLOOKUP(C64,'Countries and Timezone'!$C$7:$D$38,2,FALSE))</f>
        <v>'Countries and Timezone'!B27</v>
      </c>
      <c r="H64" s="95">
        <f t="shared" si="3"/>
        <v>7.5</v>
      </c>
      <c r="I64" s="188">
        <v>63</v>
      </c>
      <c r="J64" s="181" t="s">
        <v>262</v>
      </c>
      <c r="K64" s="181">
        <v>2.5</v>
      </c>
      <c r="L64" s="192">
        <v>0.10416666666666667</v>
      </c>
      <c r="M64" s="188"/>
      <c r="N64" s="188"/>
      <c r="O64" s="195">
        <v>63</v>
      </c>
      <c r="P64" s="196">
        <f t="shared" si="1"/>
        <v>0</v>
      </c>
      <c r="Q64" s="207"/>
      <c r="R64" s="198">
        <f t="shared" si="2"/>
        <v>0</v>
      </c>
      <c r="T64" s="191"/>
      <c r="U64" s="191"/>
      <c r="V64" s="191"/>
      <c r="W64" s="191"/>
      <c r="X64" s="191"/>
      <c r="Y64" s="191"/>
      <c r="Z64" s="191"/>
      <c r="AA64" s="191"/>
      <c r="AB64" s="191"/>
      <c r="AC64" s="191"/>
      <c r="AI64" s="2"/>
      <c r="AJ64" s="2"/>
      <c r="AK64" s="2"/>
      <c r="AL64" s="2"/>
      <c r="AM64" s="2"/>
    </row>
    <row r="65" spans="2:39" s="95" customFormat="1" ht="15" customHeight="1" x14ac:dyDescent="0.2">
      <c r="B65" s="96"/>
      <c r="C65" s="95" t="str">
        <f>Tournament!S64</f>
        <v>Wales</v>
      </c>
      <c r="E65" s="95" t="str">
        <f>IF(ISERROR("'Countries and Timezone'!"&amp;VLOOKUP(C65,'Countries and Timezone'!$C$7:$D$38,2,FALSE)),"'Countries and Timezone'!b39","'Countries and Timezone'!"&amp;VLOOKUP(C65,'Countries and Timezone'!$C$7:$D$38,2,FALSE))</f>
        <v>'Countries and Timezone'!B13</v>
      </c>
      <c r="H65" s="95">
        <f t="shared" si="3"/>
        <v>16</v>
      </c>
      <c r="I65" s="188">
        <v>64</v>
      </c>
      <c r="J65" s="181" t="s">
        <v>263</v>
      </c>
      <c r="K65" s="181">
        <v>11</v>
      </c>
      <c r="L65" s="192">
        <v>0.45833333333333331</v>
      </c>
      <c r="M65" s="188"/>
      <c r="N65" s="188"/>
      <c r="O65" s="195">
        <v>64</v>
      </c>
      <c r="P65" s="196">
        <f t="shared" si="1"/>
        <v>0</v>
      </c>
      <c r="Q65" s="207"/>
      <c r="R65" s="198">
        <f t="shared" si="2"/>
        <v>0</v>
      </c>
      <c r="T65" s="191"/>
      <c r="U65" s="191"/>
      <c r="V65" s="191"/>
      <c r="W65" s="191"/>
      <c r="X65" s="191"/>
      <c r="Y65" s="191"/>
      <c r="Z65" s="191"/>
      <c r="AA65" s="191"/>
      <c r="AB65" s="191"/>
      <c r="AC65" s="191"/>
      <c r="AI65" s="2"/>
      <c r="AJ65" s="2"/>
      <c r="AK65" s="2"/>
      <c r="AL65" s="2"/>
      <c r="AM65" s="2"/>
    </row>
    <row r="66" spans="2:39" s="95" customFormat="1" ht="15" customHeight="1" x14ac:dyDescent="0.2">
      <c r="B66" s="96"/>
      <c r="C66" s="95" t="str">
        <f>Tournament!S87</f>
        <v>Deutschland</v>
      </c>
      <c r="E66" s="95" t="str">
        <f>IF(ISERROR("'Countries and Timezone'!"&amp;VLOOKUP(C66,'Countries and Timezone'!$C$7:$D$38,2,FALSE)),"'Countries and Timezone'!b39","'Countries and Timezone'!"&amp;VLOOKUP(C66,'Countries and Timezone'!$C$7:$D$38,2,FALSE))</f>
        <v>'Countries and Timezone'!B15</v>
      </c>
      <c r="H66" s="95">
        <f t="shared" si="3"/>
        <v>8</v>
      </c>
      <c r="I66" s="188">
        <v>65</v>
      </c>
      <c r="J66" s="181" t="s">
        <v>264</v>
      </c>
      <c r="K66" s="181">
        <v>3</v>
      </c>
      <c r="L66" s="192">
        <v>0.125</v>
      </c>
      <c r="M66" s="188"/>
      <c r="N66" s="188"/>
      <c r="O66" s="188"/>
      <c r="P66" s="188"/>
      <c r="Q66" s="190"/>
      <c r="R66" s="188"/>
      <c r="T66" s="191"/>
      <c r="U66" s="191"/>
      <c r="V66" s="191"/>
      <c r="W66" s="191"/>
      <c r="X66" s="191"/>
      <c r="Y66" s="191"/>
      <c r="Z66" s="191"/>
      <c r="AA66" s="191"/>
      <c r="AB66" s="191"/>
      <c r="AC66" s="191"/>
      <c r="AI66" s="2"/>
      <c r="AJ66" s="2"/>
      <c r="AK66" s="2"/>
      <c r="AL66" s="2"/>
      <c r="AM66" s="2"/>
    </row>
    <row r="67" spans="2:39" s="95" customFormat="1" ht="15" customHeight="1" x14ac:dyDescent="0.2">
      <c r="B67" s="96"/>
      <c r="C67" s="95" t="str">
        <f>Tournament!S88</f>
        <v>Frankreich</v>
      </c>
      <c r="E67" s="95" t="str">
        <f>IF(ISERROR("'Countries and Timezone'!"&amp;VLOOKUP(C67,'Countries and Timezone'!$C$7:$D$38,2,FALSE)),"'Countries and Timezone'!b39","'Countries and Timezone'!"&amp;VLOOKUP(C67,'Countries and Timezone'!$C$7:$D$38,2,FALSE))</f>
        <v>'Countries and Timezone'!B7</v>
      </c>
      <c r="H67" s="95">
        <f t="shared" si="3"/>
        <v>6</v>
      </c>
      <c r="I67" s="188">
        <v>66</v>
      </c>
      <c r="J67" s="181" t="s">
        <v>265</v>
      </c>
      <c r="K67" s="181">
        <v>1</v>
      </c>
      <c r="L67" s="192">
        <v>4.1666666666666664E-2</v>
      </c>
      <c r="M67" s="188"/>
      <c r="N67" s="188"/>
      <c r="O67" s="188"/>
      <c r="P67" s="188"/>
      <c r="Q67" s="190"/>
      <c r="R67" s="188"/>
      <c r="T67" s="191"/>
      <c r="U67" s="191"/>
      <c r="V67" s="191"/>
      <c r="W67" s="191"/>
      <c r="X67" s="191"/>
      <c r="Y67" s="191"/>
      <c r="Z67" s="191"/>
      <c r="AA67" s="191"/>
      <c r="AB67" s="191"/>
      <c r="AC67" s="191"/>
      <c r="AI67" s="2"/>
      <c r="AJ67" s="2"/>
      <c r="AK67" s="2"/>
      <c r="AL67" s="2"/>
      <c r="AM67" s="2"/>
    </row>
    <row r="68" spans="2:39" s="95" customFormat="1" ht="15" customHeight="1" x14ac:dyDescent="0.2">
      <c r="B68" s="96"/>
      <c r="C68" s="95" t="str">
        <f>Tournament!AC75</f>
        <v>Portugal</v>
      </c>
      <c r="E68" s="95" t="str">
        <f>IF(ISERROR("'Countries and Timezone'!"&amp;VLOOKUP(C68,'Countries and Timezone'!$C$7:$D$38,2,FALSE)),"'Countries and Timezone'!b39","'Countries and Timezone'!"&amp;VLOOKUP(C68,'Countries and Timezone'!$C$7:$D$38,2,FALSE))</f>
        <v>'Countries and Timezone'!B27</v>
      </c>
      <c r="H68" s="95">
        <f t="shared" si="3"/>
        <v>-2</v>
      </c>
      <c r="I68" s="188">
        <v>67</v>
      </c>
      <c r="J68" s="181" t="s">
        <v>266</v>
      </c>
      <c r="K68" s="181">
        <v>-7</v>
      </c>
      <c r="L68" s="192">
        <v>0.29166666666666669</v>
      </c>
      <c r="M68" s="188"/>
      <c r="N68" s="188"/>
      <c r="O68" s="188"/>
      <c r="P68" s="188"/>
      <c r="Q68" s="190"/>
      <c r="R68" s="188"/>
      <c r="T68" s="191"/>
      <c r="U68" s="191"/>
      <c r="V68" s="191"/>
      <c r="W68" s="191"/>
      <c r="X68" s="191"/>
      <c r="Y68" s="191"/>
      <c r="Z68" s="191"/>
      <c r="AA68" s="191"/>
      <c r="AB68" s="191"/>
      <c r="AC68" s="191"/>
      <c r="AI68" s="2"/>
      <c r="AJ68" s="2"/>
      <c r="AK68" s="2"/>
      <c r="AL68" s="2"/>
      <c r="AM68" s="2"/>
    </row>
    <row r="69" spans="2:39" s="95" customFormat="1" ht="15" customHeight="1" x14ac:dyDescent="0.2">
      <c r="B69" s="96"/>
      <c r="C69" s="95" t="str">
        <f>Tournament!AC76</f>
        <v>Frankreich</v>
      </c>
      <c r="E69" s="95" t="str">
        <f>IF(ISERROR("'Countries and Timezone'!"&amp;VLOOKUP(C69,'Countries and Timezone'!$C$7:$D$38,2,FALSE)),"'Countries and Timezone'!b39","'Countries and Timezone'!"&amp;VLOOKUP(C69,'Countries and Timezone'!$C$7:$D$38,2,FALSE))</f>
        <v>'Countries and Timezone'!B7</v>
      </c>
      <c r="H69" s="95">
        <f t="shared" si="3"/>
        <v>17</v>
      </c>
      <c r="I69" s="188">
        <v>68</v>
      </c>
      <c r="J69" s="181" t="s">
        <v>267</v>
      </c>
      <c r="K69" s="205">
        <v>12</v>
      </c>
      <c r="L69" s="192">
        <v>0</v>
      </c>
      <c r="M69" s="188"/>
      <c r="N69" s="188"/>
      <c r="O69" s="188"/>
      <c r="P69" s="188"/>
      <c r="Q69" s="190"/>
      <c r="R69" s="188"/>
      <c r="T69" s="191"/>
      <c r="U69" s="191"/>
      <c r="V69" s="191"/>
      <c r="W69" s="191"/>
      <c r="X69" s="191"/>
      <c r="Y69" s="191"/>
      <c r="Z69" s="191"/>
      <c r="AA69" s="191"/>
      <c r="AB69" s="191"/>
      <c r="AC69" s="191"/>
      <c r="AI69" s="2"/>
      <c r="AJ69" s="2"/>
      <c r="AK69" s="2"/>
      <c r="AL69" s="2"/>
      <c r="AM69" s="2"/>
    </row>
    <row r="70" spans="2:39" s="95" customFormat="1" ht="15" customHeight="1" x14ac:dyDescent="0.2">
      <c r="B70" s="96"/>
      <c r="C70" s="95" t="str">
        <f>Tournament!$AB$90</f>
        <v>PORTUGAL</v>
      </c>
      <c r="E70" s="95" t="str">
        <f>IF(ISERROR("'Countries and Timezone'!"&amp;VLOOKUP(C70,'Countries and Timezone'!$C$7:$D$38,2,FALSE)),"'Countries and Timezone'!b39","'Countries and Timezone'!"&amp;VLOOKUP(C70,'Countries and Timezone'!$C$7:$D$38,2,FALSE))</f>
        <v>'Countries and Timezone'!B27</v>
      </c>
      <c r="H70" s="95">
        <f t="shared" si="3"/>
        <v>8.5</v>
      </c>
      <c r="I70" s="188">
        <v>69</v>
      </c>
      <c r="J70" s="181" t="s">
        <v>268</v>
      </c>
      <c r="K70" s="181">
        <v>3.5</v>
      </c>
      <c r="L70" s="192">
        <v>0.15972222222222224</v>
      </c>
      <c r="M70" s="188"/>
      <c r="N70" s="188"/>
      <c r="O70" s="188"/>
      <c r="P70" s="188"/>
      <c r="Q70" s="190"/>
      <c r="R70" s="188"/>
      <c r="T70" s="191"/>
      <c r="U70" s="191"/>
      <c r="V70" s="191"/>
      <c r="W70" s="191"/>
      <c r="X70" s="191"/>
      <c r="Y70" s="191"/>
      <c r="Z70" s="191"/>
      <c r="AA70" s="191"/>
      <c r="AB70" s="191"/>
      <c r="AC70" s="191"/>
      <c r="AI70" s="2"/>
      <c r="AJ70" s="2"/>
      <c r="AK70" s="2"/>
      <c r="AL70" s="2"/>
      <c r="AM70" s="2"/>
    </row>
    <row r="71" spans="2:39" s="95" customFormat="1" ht="15" customHeight="1" x14ac:dyDescent="0.2">
      <c r="B71" s="96"/>
      <c r="C71" s="95" t="str">
        <f>Tournament!$AC$94</f>
        <v>Frankreich</v>
      </c>
      <c r="E71" s="95" t="str">
        <f>IF(ISERROR("'Countries and Timezone'!"&amp;VLOOKUP(C71,'Countries and Timezone'!$C$7:$D$38,2,FALSE)),"'Countries and Timezone'!b39","'Countries and Timezone'!"&amp;VLOOKUP(C71,'Countries and Timezone'!$C$7:$D$38,2,FALSE))</f>
        <v>'Countries and Timezone'!B7</v>
      </c>
      <c r="H71" s="95">
        <f t="shared" si="3"/>
        <v>11</v>
      </c>
      <c r="I71" s="188">
        <v>70</v>
      </c>
      <c r="J71" s="181" t="s">
        <v>269</v>
      </c>
      <c r="K71" s="181">
        <v>6</v>
      </c>
      <c r="L71" s="192">
        <v>0.25</v>
      </c>
      <c r="M71" s="188"/>
      <c r="N71" s="188"/>
      <c r="O71" s="188"/>
      <c r="P71" s="188"/>
      <c r="Q71" s="190"/>
      <c r="R71" s="188"/>
      <c r="T71" s="191"/>
      <c r="U71" s="191"/>
      <c r="V71" s="191"/>
      <c r="W71" s="191"/>
      <c r="X71" s="191"/>
      <c r="Y71" s="191"/>
      <c r="Z71" s="191"/>
      <c r="AA71" s="191"/>
      <c r="AB71" s="191"/>
      <c r="AC71" s="191"/>
      <c r="AI71" s="2"/>
      <c r="AJ71" s="2"/>
      <c r="AK71" s="2"/>
      <c r="AL71" s="2"/>
      <c r="AM71" s="2"/>
    </row>
    <row r="72" spans="2:39" s="95" customFormat="1" ht="15" customHeight="1" x14ac:dyDescent="0.2">
      <c r="B72" s="96"/>
      <c r="C72" s="95" t="str">
        <f>Tournament!$AC$96</f>
        <v>Wales</v>
      </c>
      <c r="E72" s="95" t="str">
        <f>IF(ISERROR("'Countries and Timezone'!"&amp;VLOOKUP(C72,'Countries and Timezone'!$C$7:$D$38,2,FALSE)),"'Countries and Timezone'!b39","'Countries and Timezone'!"&amp;VLOOKUP(C72,'Countries and Timezone'!$C$7:$D$38,2,FALSE))</f>
        <v>'Countries and Timezone'!B13</v>
      </c>
      <c r="H72" s="95">
        <f t="shared" si="3"/>
        <v>6</v>
      </c>
      <c r="I72" s="188">
        <v>71</v>
      </c>
      <c r="J72" s="181" t="s">
        <v>270</v>
      </c>
      <c r="K72" s="181">
        <v>1</v>
      </c>
      <c r="L72" s="192">
        <v>4.1666666666666664E-2</v>
      </c>
      <c r="M72" s="188"/>
      <c r="N72" s="188"/>
      <c r="O72" s="188"/>
      <c r="P72" s="188"/>
      <c r="Q72" s="190"/>
      <c r="R72" s="188"/>
      <c r="T72" s="191"/>
      <c r="U72" s="191"/>
      <c r="V72" s="191"/>
      <c r="W72" s="191"/>
      <c r="X72" s="191"/>
      <c r="Y72" s="191"/>
      <c r="Z72" s="191"/>
      <c r="AA72" s="191"/>
      <c r="AB72" s="191"/>
      <c r="AC72" s="191"/>
      <c r="AI72" s="2"/>
      <c r="AJ72" s="2"/>
      <c r="AK72" s="2"/>
      <c r="AL72" s="2"/>
      <c r="AM72" s="2"/>
    </row>
    <row r="73" spans="2:39" s="95" customFormat="1" ht="15" customHeight="1" x14ac:dyDescent="0.2">
      <c r="B73" s="96"/>
      <c r="C73" s="95" t="str">
        <f>Tournament!$AC$97</f>
        <v>Deutschland</v>
      </c>
      <c r="E73" s="95" t="str">
        <f>IF(ISERROR("'Countries and Timezone'!"&amp;VLOOKUP(C73,'Countries and Timezone'!$C$7:$D$38,2,FALSE)),"'Countries and Timezone'!b39","'Countries and Timezone'!"&amp;VLOOKUP(C73,'Countries and Timezone'!$C$7:$D$38,2,FALSE))</f>
        <v>'Countries and Timezone'!B15</v>
      </c>
      <c r="H73" s="95">
        <f t="shared" si="3"/>
        <v>6</v>
      </c>
      <c r="I73" s="188">
        <v>72</v>
      </c>
      <c r="J73" s="181" t="s">
        <v>271</v>
      </c>
      <c r="K73" s="181">
        <v>1</v>
      </c>
      <c r="L73" s="192">
        <v>4.1666666666666664E-2</v>
      </c>
      <c r="M73" s="188"/>
      <c r="N73" s="188"/>
      <c r="O73" s="188"/>
      <c r="P73" s="188"/>
      <c r="Q73" s="190"/>
      <c r="R73" s="188"/>
      <c r="T73" s="191"/>
      <c r="U73" s="191"/>
      <c r="V73" s="191"/>
      <c r="W73" s="191"/>
      <c r="X73" s="191"/>
      <c r="Y73" s="191"/>
      <c r="Z73" s="191"/>
      <c r="AA73" s="191"/>
      <c r="AB73" s="191"/>
      <c r="AC73" s="191"/>
      <c r="AI73" s="2"/>
      <c r="AJ73" s="2"/>
      <c r="AK73" s="2"/>
      <c r="AL73" s="2"/>
      <c r="AM73" s="2"/>
    </row>
    <row r="74" spans="2:39" s="95" customFormat="1" ht="15" customHeight="1" x14ac:dyDescent="0.2">
      <c r="B74" s="96"/>
      <c r="H74" s="95">
        <f t="shared" si="3"/>
        <v>-1</v>
      </c>
      <c r="I74" s="188">
        <v>73</v>
      </c>
      <c r="J74" s="181" t="s">
        <v>272</v>
      </c>
      <c r="K74" s="181">
        <v>-6</v>
      </c>
      <c r="L74" s="192">
        <v>0.25</v>
      </c>
      <c r="M74" s="188"/>
      <c r="N74" s="188"/>
      <c r="O74" s="188"/>
      <c r="P74" s="188"/>
      <c r="Q74" s="190"/>
      <c r="R74" s="188"/>
      <c r="T74" s="191"/>
      <c r="U74" s="191"/>
      <c r="V74" s="191"/>
      <c r="W74" s="191"/>
      <c r="X74" s="191"/>
      <c r="Y74" s="191"/>
      <c r="Z74" s="191"/>
      <c r="AA74" s="191"/>
      <c r="AB74" s="191"/>
      <c r="AC74" s="191"/>
      <c r="AI74" s="2"/>
      <c r="AJ74" s="2"/>
      <c r="AK74" s="2"/>
      <c r="AL74" s="2"/>
      <c r="AM74" s="2"/>
    </row>
    <row r="75" spans="2:39" s="95" customFormat="1" ht="16.149999999999999" customHeight="1" x14ac:dyDescent="0.2">
      <c r="B75" s="96"/>
      <c r="H75" s="95">
        <f t="shared" si="3"/>
        <v>4</v>
      </c>
      <c r="I75" s="188">
        <v>74</v>
      </c>
      <c r="J75" s="181" t="s">
        <v>273</v>
      </c>
      <c r="K75" s="181">
        <v>-1</v>
      </c>
      <c r="L75" s="192">
        <v>4.1666666666666664E-2</v>
      </c>
      <c r="M75" s="188"/>
      <c r="N75" s="188"/>
      <c r="O75" s="188"/>
      <c r="P75" s="188"/>
      <c r="Q75" s="190"/>
      <c r="R75" s="188"/>
      <c r="T75" s="191"/>
      <c r="U75" s="191"/>
      <c r="V75" s="191"/>
      <c r="W75" s="191"/>
      <c r="X75" s="191"/>
      <c r="Y75" s="191"/>
      <c r="Z75" s="191"/>
      <c r="AA75" s="191"/>
      <c r="AB75" s="191"/>
      <c r="AC75" s="191"/>
      <c r="AI75" s="2"/>
      <c r="AJ75" s="2"/>
      <c r="AK75" s="2"/>
      <c r="AL75" s="2"/>
      <c r="AM75" s="2"/>
    </row>
    <row r="76" spans="2:39" s="95" customFormat="1" ht="16.149999999999999" customHeight="1" x14ac:dyDescent="0.2">
      <c r="B76" s="96"/>
      <c r="H76" s="95">
        <f t="shared" si="3"/>
        <v>8</v>
      </c>
      <c r="I76" s="188">
        <v>75</v>
      </c>
      <c r="J76" s="181" t="s">
        <v>274</v>
      </c>
      <c r="K76" s="181">
        <v>3</v>
      </c>
      <c r="L76" s="192">
        <v>0.125</v>
      </c>
      <c r="M76" s="188"/>
      <c r="N76" s="188"/>
      <c r="O76" s="188"/>
      <c r="P76" s="188"/>
      <c r="Q76" s="190"/>
      <c r="R76" s="188"/>
      <c r="T76" s="191"/>
      <c r="U76" s="191"/>
      <c r="V76" s="191"/>
      <c r="W76" s="191"/>
      <c r="X76" s="191"/>
      <c r="Y76" s="191"/>
      <c r="Z76" s="191"/>
      <c r="AA76" s="191"/>
      <c r="AB76" s="191"/>
      <c r="AC76" s="191"/>
      <c r="AI76" s="2"/>
      <c r="AJ76" s="2"/>
      <c r="AK76" s="2"/>
      <c r="AL76" s="2"/>
      <c r="AM76" s="2"/>
    </row>
    <row r="77" spans="2:39" s="95" customFormat="1" ht="16.149999999999999" customHeight="1" x14ac:dyDescent="0.2">
      <c r="B77" s="96"/>
      <c r="H77" s="95">
        <f t="shared" si="3"/>
        <v>-2</v>
      </c>
      <c r="I77" s="188">
        <v>76</v>
      </c>
      <c r="J77" s="181" t="s">
        <v>275</v>
      </c>
      <c r="K77" s="181">
        <v>-7</v>
      </c>
      <c r="L77" s="192">
        <v>0.29166666666666669</v>
      </c>
      <c r="M77" s="188"/>
      <c r="N77" s="188"/>
      <c r="O77" s="188"/>
      <c r="P77" s="188"/>
      <c r="Q77" s="190"/>
      <c r="R77" s="188"/>
      <c r="T77" s="191"/>
      <c r="U77" s="191"/>
      <c r="V77" s="191"/>
      <c r="W77" s="191"/>
      <c r="X77" s="191"/>
      <c r="Y77" s="191"/>
      <c r="Z77" s="191"/>
      <c r="AA77" s="191"/>
      <c r="AB77" s="191"/>
      <c r="AC77" s="191"/>
      <c r="AI77" s="2"/>
      <c r="AJ77" s="2"/>
      <c r="AK77" s="2"/>
      <c r="AL77" s="2"/>
      <c r="AM77" s="2"/>
    </row>
    <row r="78" spans="2:39" s="95" customFormat="1" ht="16.149999999999999" customHeight="1" x14ac:dyDescent="0.2">
      <c r="B78" s="96"/>
      <c r="H78" s="95">
        <f t="shared" ref="H78:H140" si="4">IF(K78&gt;0,ABS($G$2)+K78,K78-$G$2)</f>
        <v>4</v>
      </c>
      <c r="I78" s="188">
        <v>77</v>
      </c>
      <c r="J78" s="181" t="s">
        <v>276</v>
      </c>
      <c r="K78" s="181">
        <v>-1</v>
      </c>
      <c r="L78" s="192">
        <v>4.1666666666666664E-2</v>
      </c>
      <c r="M78" s="188"/>
      <c r="N78" s="188"/>
      <c r="O78" s="188"/>
      <c r="P78" s="188"/>
      <c r="Q78" s="190"/>
      <c r="R78" s="188"/>
      <c r="T78" s="191"/>
      <c r="U78" s="191"/>
      <c r="V78" s="191"/>
      <c r="W78" s="191"/>
      <c r="X78" s="191"/>
      <c r="Y78" s="191"/>
      <c r="Z78" s="191"/>
      <c r="AA78" s="191"/>
      <c r="AB78" s="191"/>
      <c r="AC78" s="191"/>
      <c r="AI78" s="2"/>
      <c r="AJ78" s="2"/>
      <c r="AK78" s="2"/>
      <c r="AL78" s="2"/>
      <c r="AM78" s="2"/>
    </row>
    <row r="79" spans="2:39" s="95" customFormat="1" ht="16.149999999999999" customHeight="1" x14ac:dyDescent="0.2">
      <c r="B79" s="96"/>
      <c r="H79" s="95">
        <f t="shared" si="4"/>
        <v>4</v>
      </c>
      <c r="I79" s="188">
        <v>78</v>
      </c>
      <c r="J79" s="181" t="s">
        <v>277</v>
      </c>
      <c r="K79" s="181">
        <v>-1</v>
      </c>
      <c r="L79" s="192">
        <v>4.1666666666666664E-2</v>
      </c>
      <c r="M79" s="188"/>
      <c r="N79" s="188"/>
      <c r="O79" s="188"/>
      <c r="P79" s="188"/>
      <c r="Q79" s="207"/>
      <c r="R79" s="188"/>
      <c r="T79" s="191"/>
      <c r="U79" s="191"/>
      <c r="V79" s="191"/>
      <c r="W79" s="191"/>
      <c r="X79" s="191"/>
      <c r="Y79" s="191"/>
      <c r="Z79" s="191"/>
      <c r="AA79" s="191"/>
      <c r="AB79" s="191"/>
      <c r="AC79" s="191"/>
      <c r="AI79" s="2"/>
      <c r="AJ79" s="2"/>
      <c r="AK79" s="2"/>
      <c r="AL79" s="2"/>
      <c r="AM79" s="2"/>
    </row>
    <row r="80" spans="2:39" s="95" customFormat="1" ht="16.149999999999999" customHeight="1" x14ac:dyDescent="0.2">
      <c r="B80" s="96"/>
      <c r="H80" s="95">
        <f t="shared" si="4"/>
        <v>-4</v>
      </c>
      <c r="I80" s="188">
        <v>79</v>
      </c>
      <c r="J80" s="181" t="s">
        <v>278</v>
      </c>
      <c r="K80" s="181">
        <v>-9</v>
      </c>
      <c r="L80" s="192">
        <v>0.375</v>
      </c>
      <c r="M80" s="188"/>
      <c r="N80" s="188"/>
      <c r="O80" s="188"/>
      <c r="P80" s="188"/>
      <c r="Q80" s="190"/>
      <c r="R80" s="188"/>
      <c r="T80" s="191"/>
      <c r="U80" s="191"/>
      <c r="V80" s="191"/>
      <c r="W80" s="191"/>
      <c r="X80" s="191"/>
      <c r="Y80" s="191"/>
      <c r="Z80" s="191"/>
      <c r="AA80" s="191"/>
      <c r="AB80" s="191"/>
      <c r="AC80" s="191"/>
      <c r="AI80" s="2"/>
      <c r="AJ80" s="2"/>
      <c r="AK80" s="2"/>
      <c r="AL80" s="2"/>
      <c r="AM80" s="2"/>
    </row>
    <row r="81" spans="2:39" s="95" customFormat="1" ht="16.149999999999999" customHeight="1" x14ac:dyDescent="0.2">
      <c r="B81" s="96"/>
      <c r="H81" s="95">
        <f t="shared" si="4"/>
        <v>5</v>
      </c>
      <c r="I81" s="188">
        <v>80</v>
      </c>
      <c r="J81" s="181" t="s">
        <v>279</v>
      </c>
      <c r="K81" s="181">
        <v>0</v>
      </c>
      <c r="L81" s="192">
        <v>0</v>
      </c>
      <c r="M81" s="188"/>
      <c r="N81" s="188"/>
      <c r="O81" s="188"/>
      <c r="P81" s="188"/>
      <c r="Q81" s="190"/>
      <c r="R81" s="188"/>
      <c r="T81" s="191"/>
      <c r="U81" s="191"/>
      <c r="V81" s="191"/>
      <c r="W81" s="191"/>
      <c r="X81" s="191"/>
      <c r="Y81" s="191"/>
      <c r="Z81" s="191"/>
      <c r="AA81" s="191"/>
      <c r="AB81" s="191"/>
      <c r="AC81" s="191"/>
      <c r="AI81" s="2"/>
      <c r="AJ81" s="2"/>
      <c r="AK81" s="2"/>
      <c r="AL81" s="2"/>
      <c r="AM81" s="2"/>
    </row>
    <row r="82" spans="2:39" s="95" customFormat="1" ht="16.149999999999999" customHeight="1" x14ac:dyDescent="0.2">
      <c r="B82" s="96"/>
      <c r="H82" s="95">
        <f t="shared" si="4"/>
        <v>-3</v>
      </c>
      <c r="I82" s="188">
        <v>81</v>
      </c>
      <c r="J82" s="181" t="s">
        <v>280</v>
      </c>
      <c r="K82" s="181">
        <v>-8</v>
      </c>
      <c r="L82" s="192">
        <v>0.33333333333333331</v>
      </c>
      <c r="M82" s="188"/>
      <c r="N82" s="188"/>
      <c r="O82" s="188"/>
      <c r="P82" s="188"/>
      <c r="Q82" s="190"/>
      <c r="R82" s="188"/>
      <c r="T82" s="191"/>
      <c r="U82" s="191"/>
      <c r="V82" s="191"/>
      <c r="W82" s="191"/>
      <c r="X82" s="191"/>
      <c r="Y82" s="191"/>
      <c r="Z82" s="191"/>
      <c r="AA82" s="191"/>
      <c r="AB82" s="191"/>
      <c r="AC82" s="191"/>
      <c r="AI82" s="2"/>
      <c r="AJ82" s="2"/>
      <c r="AK82" s="2"/>
      <c r="AL82" s="2"/>
      <c r="AM82" s="2"/>
    </row>
    <row r="83" spans="2:39" s="95" customFormat="1" ht="16.149999999999999" customHeight="1" x14ac:dyDescent="0.2">
      <c r="B83" s="96"/>
      <c r="H83" s="95">
        <f t="shared" si="4"/>
        <v>11</v>
      </c>
      <c r="I83" s="188">
        <v>82</v>
      </c>
      <c r="J83" s="181" t="s">
        <v>281</v>
      </c>
      <c r="K83" s="181">
        <v>6</v>
      </c>
      <c r="L83" s="192">
        <v>0.25</v>
      </c>
      <c r="M83" s="188"/>
      <c r="N83" s="188"/>
      <c r="O83" s="188"/>
      <c r="P83" s="188"/>
      <c r="Q83" s="190"/>
      <c r="R83" s="188"/>
      <c r="T83" s="191"/>
      <c r="U83" s="191"/>
      <c r="V83" s="191"/>
      <c r="W83" s="191"/>
      <c r="X83" s="191"/>
      <c r="Y83" s="191"/>
      <c r="Z83" s="191"/>
      <c r="AA83" s="191"/>
      <c r="AB83" s="191"/>
      <c r="AC83" s="191"/>
      <c r="AI83" s="2"/>
      <c r="AJ83" s="2"/>
      <c r="AK83" s="2"/>
      <c r="AL83" s="2"/>
      <c r="AM83" s="2"/>
    </row>
    <row r="84" spans="2:39" s="95" customFormat="1" ht="16.149999999999999" customHeight="1" x14ac:dyDescent="0.2">
      <c r="B84" s="96"/>
      <c r="H84" s="95">
        <f t="shared" si="4"/>
        <v>13</v>
      </c>
      <c r="I84" s="188">
        <v>83</v>
      </c>
      <c r="J84" s="181" t="s">
        <v>282</v>
      </c>
      <c r="K84" s="181">
        <v>8</v>
      </c>
      <c r="L84" s="192">
        <v>0.33333333333333331</v>
      </c>
      <c r="M84" s="188"/>
      <c r="N84" s="188"/>
      <c r="O84" s="188"/>
      <c r="P84" s="188"/>
      <c r="Q84" s="190"/>
      <c r="R84" s="188"/>
      <c r="T84" s="191"/>
      <c r="U84" s="191"/>
      <c r="V84" s="191"/>
      <c r="W84" s="191"/>
      <c r="X84" s="191"/>
      <c r="Y84" s="191"/>
      <c r="Z84" s="191"/>
      <c r="AA84" s="191"/>
      <c r="AB84" s="191"/>
      <c r="AC84" s="191"/>
      <c r="AI84" s="2"/>
      <c r="AJ84" s="2"/>
      <c r="AK84" s="2"/>
      <c r="AL84" s="2"/>
      <c r="AM84" s="2"/>
    </row>
    <row r="85" spans="2:39" s="95" customFormat="1" ht="16.149999999999999" customHeight="1" x14ac:dyDescent="0.2">
      <c r="B85" s="96"/>
      <c r="H85" s="95">
        <f t="shared" si="4"/>
        <v>-2</v>
      </c>
      <c r="I85" s="188">
        <v>84</v>
      </c>
      <c r="J85" s="181" t="s">
        <v>283</v>
      </c>
      <c r="K85" s="181">
        <v>-7</v>
      </c>
      <c r="L85" s="192">
        <v>0.29166666666666669</v>
      </c>
      <c r="M85" s="188"/>
      <c r="N85" s="188"/>
      <c r="O85" s="188"/>
      <c r="P85" s="188"/>
      <c r="Q85" s="207"/>
      <c r="R85" s="188"/>
      <c r="T85" s="191"/>
      <c r="U85" s="191"/>
      <c r="V85" s="191"/>
      <c r="W85" s="191"/>
      <c r="X85" s="191"/>
      <c r="Y85" s="191"/>
      <c r="Z85" s="191"/>
      <c r="AA85" s="191"/>
      <c r="AB85" s="191"/>
      <c r="AC85" s="191"/>
      <c r="AI85" s="2"/>
      <c r="AJ85" s="2"/>
      <c r="AK85" s="2"/>
      <c r="AL85" s="2"/>
      <c r="AM85" s="2"/>
    </row>
    <row r="86" spans="2:39" s="95" customFormat="1" ht="16.149999999999999" customHeight="1" x14ac:dyDescent="0.2">
      <c r="B86" s="96"/>
      <c r="H86" s="95">
        <f t="shared" si="4"/>
        <v>-1</v>
      </c>
      <c r="I86" s="188">
        <v>85</v>
      </c>
      <c r="J86" s="181" t="s">
        <v>284</v>
      </c>
      <c r="K86" s="181">
        <v>-6</v>
      </c>
      <c r="L86" s="192">
        <v>0.25</v>
      </c>
      <c r="M86" s="188"/>
      <c r="N86" s="188"/>
      <c r="O86" s="188"/>
      <c r="P86" s="188"/>
      <c r="Q86" s="190"/>
      <c r="R86" s="188"/>
      <c r="T86" s="191"/>
      <c r="U86" s="191"/>
      <c r="V86" s="191"/>
      <c r="W86" s="191"/>
      <c r="X86" s="191"/>
      <c r="Y86" s="191"/>
      <c r="Z86" s="191"/>
      <c r="AA86" s="191"/>
      <c r="AB86" s="191"/>
      <c r="AC86" s="191"/>
      <c r="AI86" s="2"/>
      <c r="AJ86" s="2"/>
      <c r="AK86" s="2"/>
      <c r="AL86" s="2"/>
      <c r="AM86" s="2"/>
    </row>
    <row r="87" spans="2:39" s="95" customFormat="1" ht="16.149999999999999" customHeight="1" x14ac:dyDescent="0.2">
      <c r="B87" s="96"/>
      <c r="H87" s="95">
        <f t="shared" si="4"/>
        <v>-2</v>
      </c>
      <c r="I87" s="188">
        <v>86</v>
      </c>
      <c r="J87" s="181" t="s">
        <v>285</v>
      </c>
      <c r="K87" s="181">
        <v>-7</v>
      </c>
      <c r="L87" s="192">
        <v>0.29166666666666669</v>
      </c>
      <c r="M87" s="188"/>
      <c r="N87" s="188"/>
      <c r="O87" s="188"/>
      <c r="P87" s="188"/>
      <c r="Q87" s="190"/>
      <c r="R87" s="188"/>
      <c r="T87" s="191"/>
      <c r="U87" s="191"/>
      <c r="V87" s="191"/>
      <c r="W87" s="191"/>
      <c r="X87" s="191"/>
      <c r="Y87" s="191"/>
      <c r="Z87" s="191"/>
      <c r="AA87" s="191"/>
      <c r="AB87" s="191"/>
      <c r="AC87" s="191"/>
      <c r="AI87" s="2"/>
      <c r="AJ87" s="2"/>
      <c r="AK87" s="2"/>
      <c r="AL87" s="2"/>
      <c r="AM87" s="2"/>
    </row>
    <row r="88" spans="2:39" s="95" customFormat="1" ht="16.149999999999999" customHeight="1" x14ac:dyDescent="0.2">
      <c r="B88" s="96"/>
      <c r="H88" s="95">
        <f t="shared" si="4"/>
        <v>6</v>
      </c>
      <c r="I88" s="188">
        <v>87</v>
      </c>
      <c r="J88" s="181" t="s">
        <v>286</v>
      </c>
      <c r="K88" s="181">
        <v>1</v>
      </c>
      <c r="L88" s="192">
        <v>4.1666666666666664E-2</v>
      </c>
      <c r="M88" s="188"/>
      <c r="N88" s="188"/>
      <c r="O88" s="188"/>
      <c r="P88" s="188"/>
      <c r="Q88" s="190"/>
      <c r="R88" s="188"/>
      <c r="T88" s="191"/>
      <c r="U88" s="191"/>
      <c r="V88" s="191"/>
      <c r="W88" s="191"/>
      <c r="X88" s="191"/>
      <c r="Y88" s="191"/>
      <c r="Z88" s="191"/>
      <c r="AA88" s="191"/>
      <c r="AB88" s="191"/>
      <c r="AC88" s="191"/>
      <c r="AI88" s="2"/>
      <c r="AJ88" s="2"/>
      <c r="AK88" s="2"/>
      <c r="AL88" s="2"/>
      <c r="AM88" s="2"/>
    </row>
    <row r="89" spans="2:39" s="95" customFormat="1" ht="16.149999999999999" customHeight="1" x14ac:dyDescent="0.2">
      <c r="B89" s="96"/>
      <c r="H89" s="95">
        <f t="shared" si="4"/>
        <v>0</v>
      </c>
      <c r="I89" s="188">
        <v>88</v>
      </c>
      <c r="J89" s="181" t="s">
        <v>287</v>
      </c>
      <c r="K89" s="181">
        <v>-5</v>
      </c>
      <c r="L89" s="192">
        <v>0.20833333333333334</v>
      </c>
      <c r="M89" s="188"/>
      <c r="N89" s="188"/>
      <c r="O89" s="188"/>
      <c r="P89" s="188"/>
      <c r="Q89" s="190"/>
      <c r="R89" s="188"/>
      <c r="T89" s="191"/>
      <c r="U89" s="191"/>
      <c r="V89" s="191"/>
      <c r="W89" s="191"/>
      <c r="X89" s="191"/>
      <c r="Y89" s="191"/>
      <c r="Z89" s="191"/>
      <c r="AA89" s="191"/>
      <c r="AB89" s="191"/>
      <c r="AC89" s="191"/>
      <c r="AI89" s="2"/>
      <c r="AJ89" s="2"/>
      <c r="AK89" s="2"/>
      <c r="AL89" s="2"/>
      <c r="AM89" s="2"/>
    </row>
    <row r="90" spans="2:39" s="95" customFormat="1" ht="16.149999999999999" customHeight="1" x14ac:dyDescent="0.2">
      <c r="B90" s="96"/>
      <c r="H90" s="95">
        <f t="shared" si="4"/>
        <v>-2</v>
      </c>
      <c r="I90" s="188">
        <v>89</v>
      </c>
      <c r="J90" s="181" t="s">
        <v>288</v>
      </c>
      <c r="K90" s="181">
        <v>-7</v>
      </c>
      <c r="L90" s="192">
        <v>0.29166666666666669</v>
      </c>
      <c r="M90" s="188"/>
      <c r="N90" s="188"/>
      <c r="O90" s="188"/>
      <c r="P90" s="188"/>
      <c r="Q90" s="190"/>
      <c r="R90" s="188"/>
      <c r="T90" s="191"/>
      <c r="U90" s="191"/>
      <c r="V90" s="191"/>
      <c r="W90" s="191"/>
      <c r="X90" s="191"/>
      <c r="Y90" s="191"/>
      <c r="Z90" s="191"/>
      <c r="AA90" s="191"/>
      <c r="AB90" s="191"/>
      <c r="AC90" s="191"/>
      <c r="AI90" s="2"/>
      <c r="AJ90" s="2"/>
      <c r="AK90" s="2"/>
      <c r="AL90" s="2"/>
      <c r="AM90" s="2"/>
    </row>
    <row r="91" spans="2:39" s="95" customFormat="1" ht="16.149999999999999" customHeight="1" x14ac:dyDescent="0.2">
      <c r="B91" s="96"/>
      <c r="H91" s="95">
        <f t="shared" si="4"/>
        <v>-1</v>
      </c>
      <c r="I91" s="188">
        <v>90</v>
      </c>
      <c r="J91" s="181" t="s">
        <v>289</v>
      </c>
      <c r="K91" s="181">
        <v>-6</v>
      </c>
      <c r="L91" s="192">
        <v>0.25</v>
      </c>
      <c r="M91" s="188"/>
      <c r="N91" s="188"/>
      <c r="O91" s="188"/>
      <c r="P91" s="188"/>
      <c r="Q91" s="207"/>
      <c r="R91" s="188"/>
      <c r="T91" s="191"/>
      <c r="U91" s="191"/>
      <c r="V91" s="191"/>
      <c r="W91" s="191"/>
      <c r="X91" s="191"/>
      <c r="Y91" s="191"/>
      <c r="Z91" s="191"/>
      <c r="AA91" s="191"/>
      <c r="AB91" s="191"/>
      <c r="AC91" s="191"/>
      <c r="AI91" s="2"/>
      <c r="AJ91" s="2"/>
      <c r="AK91" s="2"/>
      <c r="AL91" s="2"/>
      <c r="AM91" s="2"/>
    </row>
    <row r="92" spans="2:39" s="95" customFormat="1" ht="16.149999999999999" customHeight="1" x14ac:dyDescent="0.2">
      <c r="B92" s="96"/>
      <c r="H92" s="95">
        <f t="shared" si="4"/>
        <v>7</v>
      </c>
      <c r="I92" s="188">
        <v>91</v>
      </c>
      <c r="J92" s="181" t="s">
        <v>290</v>
      </c>
      <c r="K92" s="181">
        <v>2</v>
      </c>
      <c r="L92" s="192">
        <v>8.3333333333333329E-2</v>
      </c>
      <c r="M92" s="188"/>
      <c r="N92" s="188"/>
      <c r="O92" s="188"/>
      <c r="P92" s="188"/>
      <c r="Q92" s="190"/>
      <c r="R92" s="188"/>
      <c r="T92" s="191"/>
      <c r="U92" s="191"/>
      <c r="V92" s="191"/>
      <c r="W92" s="191"/>
      <c r="X92" s="191"/>
      <c r="Y92" s="191"/>
      <c r="Z92" s="191"/>
      <c r="AA92" s="191"/>
      <c r="AB92" s="191"/>
      <c r="AC92" s="191"/>
      <c r="AI92" s="2"/>
      <c r="AJ92" s="2"/>
      <c r="AK92" s="2"/>
      <c r="AL92" s="2"/>
      <c r="AM92" s="2"/>
    </row>
    <row r="93" spans="2:39" s="95" customFormat="1" ht="16.149999999999999" customHeight="1" x14ac:dyDescent="0.2">
      <c r="B93" s="96"/>
      <c r="H93" s="95">
        <f t="shared" si="4"/>
        <v>8.5</v>
      </c>
      <c r="I93" s="188">
        <v>92</v>
      </c>
      <c r="J93" s="181" t="s">
        <v>291</v>
      </c>
      <c r="K93" s="181">
        <v>3.5</v>
      </c>
      <c r="L93" s="192">
        <v>0.15972222222222224</v>
      </c>
      <c r="M93" s="188"/>
      <c r="N93" s="188"/>
      <c r="O93" s="188"/>
      <c r="P93" s="188"/>
      <c r="Q93" s="190"/>
      <c r="R93" s="188"/>
      <c r="T93" s="191"/>
      <c r="U93" s="191"/>
      <c r="V93" s="191"/>
      <c r="W93" s="191"/>
      <c r="X93" s="191"/>
      <c r="Y93" s="191"/>
      <c r="Z93" s="191"/>
      <c r="AA93" s="191"/>
      <c r="AB93" s="191"/>
      <c r="AC93" s="191"/>
      <c r="AI93" s="2"/>
      <c r="AJ93" s="2"/>
      <c r="AK93" s="2"/>
      <c r="AL93" s="2"/>
      <c r="AM93" s="2"/>
    </row>
    <row r="94" spans="2:39" s="95" customFormat="1" ht="16.149999999999999" customHeight="1" x14ac:dyDescent="0.2">
      <c r="B94" s="96"/>
      <c r="H94" s="95">
        <f t="shared" si="4"/>
        <v>6</v>
      </c>
      <c r="I94" s="188">
        <v>93</v>
      </c>
      <c r="J94" s="181" t="s">
        <v>292</v>
      </c>
      <c r="K94" s="181">
        <v>1</v>
      </c>
      <c r="L94" s="192">
        <v>4.1666666666666664E-2</v>
      </c>
      <c r="M94" s="188"/>
      <c r="N94" s="188"/>
      <c r="O94" s="188"/>
      <c r="P94" s="188"/>
      <c r="Q94" s="190"/>
      <c r="R94" s="188"/>
      <c r="T94" s="191"/>
      <c r="U94" s="191"/>
      <c r="V94" s="191"/>
      <c r="W94" s="191"/>
      <c r="X94" s="191"/>
      <c r="Y94" s="191"/>
      <c r="Z94" s="191"/>
      <c r="AA94" s="191"/>
      <c r="AB94" s="191"/>
      <c r="AC94" s="191"/>
      <c r="AI94" s="2"/>
      <c r="AJ94" s="2"/>
      <c r="AK94" s="2"/>
      <c r="AL94" s="2"/>
      <c r="AM94" s="2"/>
    </row>
    <row r="95" spans="2:39" s="95" customFormat="1" ht="16.149999999999999" customHeight="1" x14ac:dyDescent="0.2">
      <c r="B95" s="96"/>
      <c r="H95" s="95">
        <f t="shared" si="4"/>
        <v>-1</v>
      </c>
      <c r="I95" s="188">
        <v>94</v>
      </c>
      <c r="J95" s="181" t="s">
        <v>293</v>
      </c>
      <c r="K95" s="181">
        <v>-6</v>
      </c>
      <c r="L95" s="192">
        <v>0.25</v>
      </c>
      <c r="M95" s="188"/>
      <c r="N95" s="188"/>
      <c r="O95" s="188"/>
      <c r="P95" s="188"/>
      <c r="Q95" s="190"/>
      <c r="R95" s="188"/>
      <c r="T95" s="191"/>
      <c r="U95" s="191"/>
      <c r="V95" s="191"/>
      <c r="W95" s="191"/>
      <c r="X95" s="191"/>
      <c r="Y95" s="191"/>
      <c r="Z95" s="191"/>
      <c r="AA95" s="191"/>
      <c r="AB95" s="191"/>
      <c r="AC95" s="191"/>
      <c r="AI95" s="2"/>
      <c r="AJ95" s="2"/>
      <c r="AK95" s="2"/>
      <c r="AL95" s="2"/>
      <c r="AM95" s="2"/>
    </row>
    <row r="96" spans="2:39" s="95" customFormat="1" ht="16.149999999999999" customHeight="1" x14ac:dyDescent="0.2">
      <c r="B96" s="96"/>
      <c r="H96" s="95">
        <f t="shared" si="4"/>
        <v>8.5</v>
      </c>
      <c r="I96" s="188">
        <v>95</v>
      </c>
      <c r="J96" s="181" t="s">
        <v>294</v>
      </c>
      <c r="K96" s="181">
        <v>3.5</v>
      </c>
      <c r="L96" s="192">
        <v>0.15972222222222224</v>
      </c>
      <c r="M96" s="188"/>
      <c r="N96" s="188"/>
      <c r="O96" s="188"/>
      <c r="P96" s="188"/>
      <c r="Q96" s="190"/>
      <c r="R96" s="188"/>
      <c r="T96" s="191"/>
      <c r="U96" s="191"/>
      <c r="V96" s="191"/>
      <c r="W96" s="191"/>
      <c r="X96" s="191"/>
      <c r="Y96" s="191"/>
      <c r="Z96" s="191"/>
      <c r="AA96" s="191"/>
      <c r="AB96" s="191"/>
      <c r="AC96" s="191"/>
      <c r="AI96" s="2"/>
      <c r="AJ96" s="2"/>
      <c r="AK96" s="2"/>
      <c r="AL96" s="2"/>
      <c r="AM96" s="2"/>
    </row>
    <row r="97" spans="2:39" s="95" customFormat="1" ht="16.149999999999999" customHeight="1" x14ac:dyDescent="0.2">
      <c r="B97" s="96"/>
      <c r="H97" s="95">
        <f t="shared" si="4"/>
        <v>-2</v>
      </c>
      <c r="I97" s="188">
        <v>96</v>
      </c>
      <c r="J97" s="181" t="s">
        <v>295</v>
      </c>
      <c r="K97" s="181">
        <v>-7</v>
      </c>
      <c r="L97" s="192">
        <v>0.29166666666666669</v>
      </c>
      <c r="M97" s="188"/>
      <c r="N97" s="188"/>
      <c r="O97" s="188"/>
      <c r="P97" s="188"/>
      <c r="Q97" s="207"/>
      <c r="R97" s="188"/>
      <c r="T97" s="191"/>
      <c r="U97" s="191"/>
      <c r="V97" s="191"/>
      <c r="W97" s="191"/>
      <c r="X97" s="191"/>
      <c r="Y97" s="191"/>
      <c r="Z97" s="191"/>
      <c r="AA97" s="191"/>
      <c r="AB97" s="191"/>
      <c r="AC97" s="191"/>
      <c r="AI97" s="2"/>
      <c r="AJ97" s="2"/>
      <c r="AK97" s="2"/>
      <c r="AL97" s="2"/>
      <c r="AM97" s="2"/>
    </row>
    <row r="98" spans="2:39" s="95" customFormat="1" ht="16.149999999999999" customHeight="1" x14ac:dyDescent="0.2">
      <c r="B98" s="96"/>
      <c r="H98" s="95">
        <f t="shared" si="4"/>
        <v>-1</v>
      </c>
      <c r="I98" s="188">
        <v>97</v>
      </c>
      <c r="J98" s="181" t="s">
        <v>296</v>
      </c>
      <c r="K98" s="181">
        <v>-6</v>
      </c>
      <c r="L98" s="192">
        <v>0.25</v>
      </c>
      <c r="M98" s="188"/>
      <c r="N98" s="188"/>
      <c r="O98" s="188"/>
      <c r="P98" s="188"/>
      <c r="Q98" s="207"/>
      <c r="R98" s="188"/>
      <c r="T98" s="191"/>
      <c r="U98" s="191"/>
      <c r="V98" s="191"/>
      <c r="W98" s="191"/>
      <c r="X98" s="191"/>
      <c r="Y98" s="191"/>
      <c r="Z98" s="191"/>
      <c r="AA98" s="191"/>
      <c r="AB98" s="191"/>
      <c r="AC98" s="191"/>
      <c r="AI98" s="2"/>
      <c r="AJ98" s="2"/>
      <c r="AK98" s="2"/>
      <c r="AL98" s="2"/>
      <c r="AM98" s="2"/>
    </row>
    <row r="99" spans="2:39" s="95" customFormat="1" ht="16.149999999999999" customHeight="1" x14ac:dyDescent="0.2">
      <c r="B99" s="96"/>
      <c r="H99" s="95">
        <f t="shared" si="4"/>
        <v>5</v>
      </c>
      <c r="I99" s="188">
        <v>98</v>
      </c>
      <c r="J99" s="181" t="s">
        <v>297</v>
      </c>
      <c r="K99" s="181">
        <v>0</v>
      </c>
      <c r="L99" s="192">
        <v>0</v>
      </c>
      <c r="M99" s="188"/>
      <c r="N99" s="188"/>
      <c r="O99" s="188"/>
      <c r="P99" s="188"/>
      <c r="Q99" s="207"/>
      <c r="R99" s="188"/>
      <c r="T99" s="191"/>
      <c r="U99" s="191"/>
      <c r="V99" s="191"/>
      <c r="W99" s="191"/>
      <c r="X99" s="191"/>
      <c r="Y99" s="191"/>
      <c r="Z99" s="191"/>
      <c r="AA99" s="191"/>
      <c r="AB99" s="191"/>
      <c r="AC99" s="191"/>
      <c r="AI99" s="2"/>
      <c r="AJ99" s="2"/>
      <c r="AK99" s="2"/>
      <c r="AL99" s="2"/>
      <c r="AM99" s="2"/>
    </row>
    <row r="100" spans="2:39" s="95" customFormat="1" ht="16.149999999999999" customHeight="1" x14ac:dyDescent="0.2">
      <c r="B100" s="96"/>
      <c r="H100" s="95">
        <f t="shared" si="4"/>
        <v>-1</v>
      </c>
      <c r="I100" s="188">
        <v>99</v>
      </c>
      <c r="J100" s="181" t="s">
        <v>298</v>
      </c>
      <c r="K100" s="181">
        <v>-6</v>
      </c>
      <c r="L100" s="192">
        <v>0.25</v>
      </c>
      <c r="M100" s="188"/>
      <c r="N100" s="188"/>
      <c r="O100" s="188"/>
      <c r="P100" s="188"/>
      <c r="Q100" s="207"/>
      <c r="R100" s="188"/>
      <c r="T100" s="191"/>
      <c r="U100" s="191"/>
      <c r="V100" s="191"/>
      <c r="W100" s="191"/>
      <c r="X100" s="191"/>
      <c r="Y100" s="191"/>
      <c r="Z100" s="191"/>
      <c r="AA100" s="191"/>
      <c r="AB100" s="191"/>
      <c r="AC100" s="191"/>
      <c r="AI100" s="2"/>
      <c r="AJ100" s="2"/>
      <c r="AK100" s="2"/>
      <c r="AL100" s="2"/>
      <c r="AM100" s="2"/>
    </row>
    <row r="101" spans="2:39" s="95" customFormat="1" ht="16.149999999999999" customHeight="1" x14ac:dyDescent="0.2">
      <c r="B101" s="96"/>
      <c r="H101" s="95">
        <f t="shared" si="4"/>
        <v>5</v>
      </c>
      <c r="I101" s="188">
        <v>100</v>
      </c>
      <c r="J101" s="181" t="s">
        <v>299</v>
      </c>
      <c r="K101" s="181">
        <v>0</v>
      </c>
      <c r="L101" s="192">
        <v>0</v>
      </c>
      <c r="M101" s="188"/>
      <c r="N101" s="188"/>
      <c r="O101" s="188"/>
      <c r="P101" s="188"/>
      <c r="Q101" s="207"/>
      <c r="R101" s="188"/>
      <c r="T101" s="191"/>
      <c r="U101" s="191"/>
      <c r="V101" s="191"/>
      <c r="W101" s="191"/>
      <c r="X101" s="191"/>
      <c r="Y101" s="191"/>
      <c r="Z101" s="191"/>
      <c r="AA101" s="191"/>
      <c r="AB101" s="191"/>
      <c r="AC101" s="191"/>
      <c r="AI101" s="2"/>
      <c r="AJ101" s="2"/>
      <c r="AK101" s="2"/>
      <c r="AL101" s="2"/>
      <c r="AM101" s="2"/>
    </row>
    <row r="102" spans="2:39" s="95" customFormat="1" ht="16.149999999999999" customHeight="1" x14ac:dyDescent="0.2">
      <c r="B102" s="96"/>
      <c r="H102" s="95">
        <f t="shared" si="4"/>
        <v>11</v>
      </c>
      <c r="I102" s="188">
        <v>101</v>
      </c>
      <c r="J102" s="181" t="s">
        <v>300</v>
      </c>
      <c r="K102" s="181">
        <v>6</v>
      </c>
      <c r="L102" s="192">
        <v>0.25</v>
      </c>
      <c r="M102" s="188"/>
      <c r="N102" s="188"/>
      <c r="O102" s="188"/>
      <c r="P102" s="188"/>
      <c r="Q102" s="207"/>
      <c r="R102" s="188"/>
      <c r="T102" s="191"/>
      <c r="U102" s="191"/>
      <c r="V102" s="191"/>
      <c r="W102" s="191"/>
      <c r="X102" s="191"/>
      <c r="Y102" s="191"/>
      <c r="Z102" s="191"/>
      <c r="AA102" s="191"/>
      <c r="AB102" s="191"/>
      <c r="AC102" s="191"/>
      <c r="AI102" s="2"/>
      <c r="AJ102" s="2"/>
      <c r="AK102" s="2"/>
      <c r="AL102" s="2"/>
      <c r="AM102" s="2"/>
    </row>
    <row r="103" spans="2:39" s="95" customFormat="1" ht="16.149999999999999" customHeight="1" x14ac:dyDescent="0.2">
      <c r="B103" s="96"/>
      <c r="H103" s="95">
        <f t="shared" si="4"/>
        <v>-1</v>
      </c>
      <c r="I103" s="188">
        <v>102</v>
      </c>
      <c r="J103" s="181" t="s">
        <v>301</v>
      </c>
      <c r="K103" s="181">
        <v>-6</v>
      </c>
      <c r="L103" s="192">
        <v>0.25</v>
      </c>
      <c r="M103" s="188"/>
      <c r="N103" s="188"/>
      <c r="O103" s="188"/>
      <c r="P103" s="188"/>
      <c r="Q103" s="207"/>
      <c r="R103" s="188"/>
      <c r="T103" s="191"/>
      <c r="U103" s="191"/>
      <c r="V103" s="191"/>
      <c r="W103" s="191"/>
      <c r="X103" s="191"/>
      <c r="Y103" s="191"/>
      <c r="Z103" s="191"/>
      <c r="AA103" s="191"/>
      <c r="AB103" s="191"/>
      <c r="AC103" s="191"/>
      <c r="AI103" s="2"/>
      <c r="AJ103" s="2"/>
      <c r="AK103" s="2"/>
      <c r="AL103" s="2"/>
      <c r="AM103" s="2"/>
    </row>
    <row r="104" spans="2:39" s="95" customFormat="1" ht="16.149999999999999" customHeight="1" x14ac:dyDescent="0.2">
      <c r="B104" s="96"/>
      <c r="H104" s="95">
        <f t="shared" si="4"/>
        <v>-4</v>
      </c>
      <c r="I104" s="188">
        <v>103</v>
      </c>
      <c r="J104" s="181" t="s">
        <v>302</v>
      </c>
      <c r="K104" s="181">
        <v>-9</v>
      </c>
      <c r="L104" s="192">
        <v>0.375</v>
      </c>
      <c r="M104" s="188"/>
      <c r="N104" s="188"/>
      <c r="O104" s="188"/>
      <c r="P104" s="188"/>
      <c r="Q104" s="207"/>
      <c r="R104" s="188"/>
      <c r="T104" s="191"/>
      <c r="U104" s="191"/>
      <c r="V104" s="191"/>
      <c r="W104" s="191"/>
      <c r="X104" s="191"/>
      <c r="Y104" s="191"/>
      <c r="Z104" s="191"/>
      <c r="AA104" s="191"/>
      <c r="AB104" s="191"/>
      <c r="AC104" s="191"/>
      <c r="AI104" s="2"/>
      <c r="AJ104" s="2"/>
      <c r="AK104" s="2"/>
      <c r="AL104" s="2"/>
      <c r="AM104" s="2"/>
    </row>
    <row r="105" spans="2:39" s="95" customFormat="1" ht="16.149999999999999" customHeight="1" x14ac:dyDescent="0.2">
      <c r="B105" s="96"/>
      <c r="H105" s="95">
        <f t="shared" si="4"/>
        <v>5</v>
      </c>
      <c r="I105" s="188">
        <v>104</v>
      </c>
      <c r="J105" s="181" t="s">
        <v>303</v>
      </c>
      <c r="K105" s="181">
        <v>0</v>
      </c>
      <c r="L105" s="192">
        <v>0</v>
      </c>
      <c r="M105" s="188"/>
      <c r="N105" s="188"/>
      <c r="O105" s="188"/>
      <c r="P105" s="188"/>
      <c r="Q105" s="207"/>
      <c r="R105" s="188"/>
      <c r="T105" s="191"/>
      <c r="U105" s="191"/>
      <c r="V105" s="191"/>
      <c r="W105" s="191"/>
      <c r="X105" s="191"/>
      <c r="Y105" s="191"/>
      <c r="Z105" s="191"/>
      <c r="AA105" s="191"/>
      <c r="AB105" s="191"/>
      <c r="AC105" s="191"/>
      <c r="AI105" s="2"/>
      <c r="AJ105" s="2"/>
      <c r="AK105" s="2"/>
      <c r="AL105" s="2"/>
      <c r="AM105" s="2"/>
    </row>
    <row r="106" spans="2:39" s="95" customFormat="1" ht="16.149999999999999" customHeight="1" x14ac:dyDescent="0.2">
      <c r="B106" s="96"/>
      <c r="H106" s="95">
        <f t="shared" si="4"/>
        <v>3</v>
      </c>
      <c r="I106" s="188">
        <v>105</v>
      </c>
      <c r="J106" s="181" t="s">
        <v>304</v>
      </c>
      <c r="K106" s="181">
        <v>-2</v>
      </c>
      <c r="L106" s="192">
        <v>8.3333333333333329E-2</v>
      </c>
      <c r="M106" s="188"/>
      <c r="N106" s="188"/>
      <c r="O106" s="188"/>
      <c r="P106" s="188"/>
      <c r="Q106" s="207"/>
      <c r="R106" s="188"/>
      <c r="T106" s="191"/>
      <c r="U106" s="191"/>
      <c r="V106" s="191"/>
      <c r="W106" s="191"/>
      <c r="X106" s="191"/>
      <c r="Y106" s="191"/>
      <c r="Z106" s="191"/>
      <c r="AA106" s="191"/>
      <c r="AB106" s="191"/>
      <c r="AC106" s="191"/>
      <c r="AI106" s="2"/>
      <c r="AJ106" s="2"/>
      <c r="AK106" s="2"/>
      <c r="AL106" s="2"/>
      <c r="AM106" s="2"/>
    </row>
    <row r="107" spans="2:39" s="95" customFormat="1" ht="16.149999999999999" customHeight="1" x14ac:dyDescent="0.2">
      <c r="B107" s="96"/>
      <c r="H107" s="95">
        <f t="shared" si="4"/>
        <v>0</v>
      </c>
      <c r="I107" s="188">
        <v>106</v>
      </c>
      <c r="J107" s="181" t="s">
        <v>305</v>
      </c>
      <c r="K107" s="181">
        <v>-5</v>
      </c>
      <c r="L107" s="192">
        <v>0.20833333333333334</v>
      </c>
      <c r="M107" s="188"/>
      <c r="N107" s="188"/>
      <c r="O107" s="188"/>
      <c r="P107" s="188"/>
      <c r="Q107" s="207"/>
      <c r="R107" s="188"/>
      <c r="T107" s="191"/>
      <c r="U107" s="191"/>
      <c r="V107" s="191"/>
      <c r="W107" s="191"/>
      <c r="X107" s="191"/>
      <c r="Y107" s="191"/>
      <c r="Z107" s="191"/>
      <c r="AA107" s="191"/>
      <c r="AB107" s="191"/>
      <c r="AC107" s="191"/>
      <c r="AI107" s="2"/>
      <c r="AJ107" s="2"/>
      <c r="AK107" s="2"/>
      <c r="AL107" s="2"/>
      <c r="AM107" s="2"/>
    </row>
    <row r="108" spans="2:39" s="95" customFormat="1" ht="16.149999999999999" customHeight="1" x14ac:dyDescent="0.2">
      <c r="B108" s="96"/>
      <c r="H108" s="95">
        <f t="shared" si="4"/>
        <v>6</v>
      </c>
      <c r="I108" s="188">
        <v>107</v>
      </c>
      <c r="J108" s="181" t="s">
        <v>306</v>
      </c>
      <c r="K108" s="181">
        <v>1</v>
      </c>
      <c r="L108" s="192">
        <v>4.1666666666666664E-2</v>
      </c>
      <c r="M108" s="188"/>
      <c r="N108" s="188"/>
      <c r="O108" s="188"/>
      <c r="P108" s="188"/>
      <c r="Q108" s="207"/>
      <c r="R108" s="188"/>
      <c r="T108" s="191"/>
      <c r="U108" s="191"/>
      <c r="V108" s="191"/>
      <c r="W108" s="191"/>
      <c r="X108" s="191"/>
      <c r="Y108" s="191"/>
      <c r="Z108" s="191"/>
      <c r="AA108" s="191"/>
      <c r="AB108" s="191"/>
      <c r="AC108" s="191"/>
      <c r="AI108" s="2"/>
      <c r="AJ108" s="2"/>
      <c r="AK108" s="2"/>
      <c r="AL108" s="2"/>
      <c r="AM108" s="2"/>
    </row>
    <row r="109" spans="2:39" s="95" customFormat="1" ht="15" customHeight="1" x14ac:dyDescent="0.2">
      <c r="B109" s="96"/>
      <c r="H109" s="95">
        <f t="shared" si="4"/>
        <v>5</v>
      </c>
      <c r="I109" s="188">
        <v>108</v>
      </c>
      <c r="J109" s="181" t="s">
        <v>307</v>
      </c>
      <c r="K109" s="181">
        <v>0</v>
      </c>
      <c r="L109" s="192">
        <v>0</v>
      </c>
      <c r="M109" s="188"/>
      <c r="N109" s="188"/>
      <c r="O109" s="188"/>
      <c r="P109" s="188"/>
      <c r="Q109" s="207"/>
      <c r="R109" s="188"/>
      <c r="T109" s="191"/>
      <c r="U109" s="191"/>
      <c r="V109" s="191"/>
      <c r="W109" s="191"/>
      <c r="X109" s="191"/>
      <c r="Y109" s="191"/>
      <c r="Z109" s="191"/>
      <c r="AA109" s="191"/>
      <c r="AB109" s="191"/>
      <c r="AC109" s="191"/>
      <c r="AI109" s="2"/>
      <c r="AJ109" s="2"/>
      <c r="AK109" s="2"/>
      <c r="AL109" s="2"/>
      <c r="AM109" s="2"/>
    </row>
    <row r="110" spans="2:39" s="95" customFormat="1" ht="15" customHeight="1" x14ac:dyDescent="0.2">
      <c r="B110" s="96"/>
      <c r="H110" s="95">
        <f t="shared" si="4"/>
        <v>-4</v>
      </c>
      <c r="I110" s="188">
        <v>109</v>
      </c>
      <c r="J110" s="181" t="s">
        <v>308</v>
      </c>
      <c r="K110" s="181">
        <v>-9</v>
      </c>
      <c r="L110" s="192">
        <v>0.375</v>
      </c>
      <c r="M110" s="188"/>
      <c r="N110" s="188"/>
      <c r="O110" s="188"/>
      <c r="P110" s="188"/>
      <c r="Q110" s="207"/>
      <c r="R110" s="188"/>
      <c r="T110" s="191"/>
      <c r="U110" s="191"/>
      <c r="V110" s="191"/>
      <c r="W110" s="191"/>
      <c r="X110" s="191"/>
      <c r="Y110" s="191"/>
      <c r="Z110" s="191"/>
      <c r="AA110" s="191"/>
      <c r="AB110" s="191"/>
      <c r="AC110" s="191"/>
      <c r="AI110" s="2"/>
      <c r="AJ110" s="2"/>
      <c r="AK110" s="2"/>
      <c r="AL110" s="2"/>
      <c r="AM110" s="2"/>
    </row>
    <row r="111" spans="2:39" s="95" customFormat="1" ht="15" customHeight="1" x14ac:dyDescent="0.2">
      <c r="B111" s="96"/>
      <c r="H111" s="95">
        <f t="shared" si="4"/>
        <v>-1</v>
      </c>
      <c r="I111" s="188">
        <v>110</v>
      </c>
      <c r="J111" s="181" t="s">
        <v>309</v>
      </c>
      <c r="K111" s="181">
        <v>-6</v>
      </c>
      <c r="L111" s="192">
        <v>0.25</v>
      </c>
      <c r="M111" s="188"/>
      <c r="N111" s="188"/>
      <c r="O111" s="188"/>
      <c r="P111" s="188"/>
      <c r="Q111" s="207"/>
      <c r="R111" s="188"/>
      <c r="T111" s="191"/>
      <c r="U111" s="191"/>
      <c r="V111" s="191"/>
      <c r="W111" s="191"/>
      <c r="X111" s="191"/>
      <c r="Y111" s="191"/>
      <c r="Z111" s="191"/>
      <c r="AA111" s="191"/>
      <c r="AB111" s="191"/>
      <c r="AC111" s="191"/>
      <c r="AI111" s="2"/>
      <c r="AJ111" s="2"/>
      <c r="AK111" s="2"/>
      <c r="AL111" s="2"/>
      <c r="AM111" s="2"/>
    </row>
    <row r="112" spans="2:39" s="95" customFormat="1" ht="15" customHeight="1" x14ac:dyDescent="0.2">
      <c r="B112" s="96"/>
      <c r="H112" s="95">
        <f t="shared" si="4"/>
        <v>-3</v>
      </c>
      <c r="I112" s="188">
        <v>111</v>
      </c>
      <c r="J112" s="181" t="s">
        <v>310</v>
      </c>
      <c r="K112" s="181">
        <v>-8</v>
      </c>
      <c r="L112" s="192">
        <v>0.33333333333333331</v>
      </c>
      <c r="M112" s="188"/>
      <c r="N112" s="188"/>
      <c r="O112" s="188"/>
      <c r="P112" s="188"/>
      <c r="Q112" s="207"/>
      <c r="R112" s="188"/>
      <c r="T112" s="191"/>
      <c r="U112" s="191"/>
      <c r="V112" s="191"/>
      <c r="W112" s="191"/>
      <c r="X112" s="191"/>
      <c r="Y112" s="191"/>
      <c r="Z112" s="191"/>
      <c r="AA112" s="191"/>
      <c r="AB112" s="191"/>
      <c r="AC112" s="191"/>
      <c r="AI112" s="2"/>
      <c r="AJ112" s="2"/>
      <c r="AK112" s="2"/>
      <c r="AL112" s="2"/>
      <c r="AM112" s="2"/>
    </row>
    <row r="113" spans="2:39" s="95" customFormat="1" ht="15" customHeight="1" x14ac:dyDescent="0.2">
      <c r="B113" s="96"/>
      <c r="H113" s="95">
        <f t="shared" si="4"/>
        <v>-1</v>
      </c>
      <c r="I113" s="188">
        <v>112</v>
      </c>
      <c r="J113" s="181" t="s">
        <v>311</v>
      </c>
      <c r="K113" s="181">
        <v>-6</v>
      </c>
      <c r="L113" s="192">
        <v>0.25</v>
      </c>
      <c r="M113" s="188"/>
      <c r="N113" s="188"/>
      <c r="O113" s="188"/>
      <c r="P113" s="188"/>
      <c r="Q113" s="207"/>
      <c r="R113" s="188"/>
      <c r="T113" s="191"/>
      <c r="U113" s="191"/>
      <c r="V113" s="191"/>
      <c r="W113" s="191"/>
      <c r="X113" s="191"/>
      <c r="Y113" s="191"/>
      <c r="Z113" s="191"/>
      <c r="AA113" s="191"/>
      <c r="AB113" s="191"/>
      <c r="AC113" s="191"/>
      <c r="AI113" s="2"/>
      <c r="AJ113" s="2"/>
      <c r="AK113" s="2"/>
      <c r="AL113" s="2"/>
      <c r="AM113" s="2"/>
    </row>
    <row r="114" spans="2:39" s="95" customFormat="1" ht="15" customHeight="1" x14ac:dyDescent="0.2">
      <c r="B114" s="96"/>
      <c r="H114" s="95">
        <f t="shared" si="4"/>
        <v>-1</v>
      </c>
      <c r="I114" s="188">
        <v>113</v>
      </c>
      <c r="J114" s="181" t="s">
        <v>312</v>
      </c>
      <c r="K114" s="181">
        <v>-6</v>
      </c>
      <c r="L114" s="192">
        <v>0.25</v>
      </c>
      <c r="M114" s="188"/>
      <c r="N114" s="188"/>
      <c r="O114" s="188"/>
      <c r="P114" s="188"/>
      <c r="Q114" s="207"/>
      <c r="R114" s="188"/>
      <c r="T114" s="191"/>
      <c r="U114" s="191"/>
      <c r="V114" s="191"/>
      <c r="W114" s="191"/>
      <c r="X114" s="191"/>
      <c r="Y114" s="191"/>
      <c r="Z114" s="191"/>
      <c r="AA114" s="191"/>
      <c r="AB114" s="191"/>
      <c r="AC114" s="191"/>
      <c r="AI114" s="2"/>
      <c r="AJ114" s="2"/>
      <c r="AK114" s="2"/>
      <c r="AL114" s="2"/>
      <c r="AM114" s="2"/>
    </row>
    <row r="115" spans="2:39" s="95" customFormat="1" ht="15" customHeight="1" x14ac:dyDescent="0.2">
      <c r="B115" s="96"/>
      <c r="H115" s="95">
        <f t="shared" si="4"/>
        <v>0</v>
      </c>
      <c r="I115" s="188">
        <v>114</v>
      </c>
      <c r="J115" s="181" t="s">
        <v>192</v>
      </c>
      <c r="K115" s="181">
        <v>-5</v>
      </c>
      <c r="L115" s="192">
        <v>0.20833333333333334</v>
      </c>
      <c r="M115" s="188"/>
      <c r="N115" s="188"/>
      <c r="O115" s="188"/>
      <c r="P115" s="188"/>
      <c r="Q115" s="207"/>
      <c r="R115" s="188"/>
      <c r="T115" s="191"/>
      <c r="U115" s="191"/>
      <c r="V115" s="191"/>
      <c r="W115" s="191"/>
      <c r="X115" s="191"/>
      <c r="Y115" s="191"/>
      <c r="Z115" s="191"/>
      <c r="AA115" s="191"/>
      <c r="AB115" s="191"/>
      <c r="AC115" s="191"/>
      <c r="AI115" s="2"/>
      <c r="AJ115" s="2"/>
      <c r="AK115" s="2"/>
      <c r="AL115" s="2"/>
      <c r="AM115" s="2"/>
    </row>
    <row r="116" spans="2:39" s="95" customFormat="1" ht="15" customHeight="1" x14ac:dyDescent="0.2">
      <c r="B116" s="96"/>
      <c r="H116" s="95">
        <f t="shared" si="4"/>
        <v>-4</v>
      </c>
      <c r="I116" s="188">
        <v>115</v>
      </c>
      <c r="J116" s="181" t="s">
        <v>313</v>
      </c>
      <c r="K116" s="181">
        <v>-9</v>
      </c>
      <c r="L116" s="192">
        <v>0.375</v>
      </c>
      <c r="M116" s="188"/>
      <c r="N116" s="188"/>
      <c r="O116" s="188"/>
      <c r="P116" s="188"/>
      <c r="Q116" s="207"/>
      <c r="R116" s="188"/>
      <c r="T116" s="191"/>
      <c r="U116" s="191"/>
      <c r="V116" s="191"/>
      <c r="W116" s="191"/>
      <c r="X116" s="191"/>
      <c r="Y116" s="191"/>
      <c r="Z116" s="191"/>
      <c r="AA116" s="191"/>
      <c r="AB116" s="191"/>
      <c r="AC116" s="191"/>
      <c r="AI116" s="2"/>
      <c r="AJ116" s="2"/>
      <c r="AK116" s="2"/>
      <c r="AL116" s="2"/>
      <c r="AM116" s="2"/>
    </row>
    <row r="117" spans="2:39" s="95" customFormat="1" ht="15" customHeight="1" x14ac:dyDescent="0.2">
      <c r="B117" s="96"/>
      <c r="H117" s="95">
        <f t="shared" si="4"/>
        <v>12</v>
      </c>
      <c r="I117" s="188">
        <v>116</v>
      </c>
      <c r="J117" s="181" t="s">
        <v>314</v>
      </c>
      <c r="K117" s="181">
        <v>7</v>
      </c>
      <c r="L117" s="192">
        <v>0.29166666666666669</v>
      </c>
      <c r="M117" s="188"/>
      <c r="N117" s="188"/>
      <c r="O117" s="188"/>
      <c r="P117" s="188"/>
      <c r="Q117" s="207"/>
      <c r="R117" s="188"/>
      <c r="T117" s="191"/>
      <c r="U117" s="191"/>
      <c r="V117" s="191"/>
      <c r="W117" s="191"/>
      <c r="X117" s="191"/>
      <c r="Y117" s="191"/>
      <c r="Z117" s="191"/>
      <c r="AA117" s="191"/>
      <c r="AB117" s="191"/>
      <c r="AC117" s="191"/>
      <c r="AI117" s="2"/>
      <c r="AJ117" s="2"/>
      <c r="AK117" s="2"/>
      <c r="AL117" s="2"/>
      <c r="AM117" s="2"/>
    </row>
    <row r="118" spans="2:39" s="95" customFormat="1" ht="15" customHeight="1" x14ac:dyDescent="0.2">
      <c r="B118" s="96"/>
      <c r="H118" s="95">
        <f t="shared" si="4"/>
        <v>11</v>
      </c>
      <c r="I118" s="188">
        <v>117</v>
      </c>
      <c r="J118" s="181" t="s">
        <v>315</v>
      </c>
      <c r="K118" s="181">
        <v>6</v>
      </c>
      <c r="L118" s="192">
        <v>0.25</v>
      </c>
      <c r="M118" s="188"/>
      <c r="N118" s="188"/>
      <c r="O118" s="188"/>
      <c r="P118" s="188"/>
      <c r="Q118" s="207"/>
      <c r="R118" s="188"/>
      <c r="T118" s="191"/>
      <c r="U118" s="191"/>
      <c r="V118" s="191"/>
      <c r="W118" s="191"/>
      <c r="X118" s="191"/>
      <c r="Y118" s="191"/>
      <c r="Z118" s="191"/>
      <c r="AA118" s="191"/>
      <c r="AB118" s="191"/>
      <c r="AC118" s="191"/>
      <c r="AI118" s="2"/>
      <c r="AJ118" s="2"/>
      <c r="AK118" s="2"/>
      <c r="AL118" s="2"/>
      <c r="AM118" s="2"/>
    </row>
    <row r="119" spans="2:39" s="95" customFormat="1" ht="15" customHeight="1" x14ac:dyDescent="0.2">
      <c r="B119" s="96"/>
      <c r="H119" s="95">
        <f t="shared" si="4"/>
        <v>11</v>
      </c>
      <c r="I119" s="188">
        <v>118</v>
      </c>
      <c r="J119" s="181" t="s">
        <v>316</v>
      </c>
      <c r="K119" s="181">
        <v>6</v>
      </c>
      <c r="L119" s="192">
        <v>0.25</v>
      </c>
      <c r="M119" s="188"/>
      <c r="N119" s="188"/>
      <c r="O119" s="188"/>
      <c r="P119" s="188"/>
      <c r="Q119" s="207"/>
      <c r="R119" s="188"/>
      <c r="T119" s="191"/>
      <c r="U119" s="191"/>
      <c r="V119" s="191"/>
      <c r="W119" s="191"/>
      <c r="X119" s="191"/>
      <c r="Y119" s="191"/>
      <c r="Z119" s="191"/>
      <c r="AA119" s="191"/>
      <c r="AB119" s="191"/>
      <c r="AC119" s="191"/>
      <c r="AI119" s="2"/>
      <c r="AJ119" s="2"/>
      <c r="AK119" s="2"/>
      <c r="AL119" s="2"/>
      <c r="AM119" s="2"/>
    </row>
    <row r="120" spans="2:39" s="95" customFormat="1" ht="15" customHeight="1" x14ac:dyDescent="0.2">
      <c r="B120" s="96"/>
      <c r="H120" s="95">
        <f t="shared" si="4"/>
        <v>6</v>
      </c>
      <c r="I120" s="188">
        <v>119</v>
      </c>
      <c r="J120" s="181" t="s">
        <v>317</v>
      </c>
      <c r="K120" s="181">
        <v>1</v>
      </c>
      <c r="L120" s="192">
        <v>4.1666666666666664E-2</v>
      </c>
      <c r="M120" s="188"/>
      <c r="N120" s="188"/>
      <c r="O120" s="188"/>
      <c r="P120" s="188"/>
      <c r="Q120" s="207"/>
      <c r="R120" s="188"/>
      <c r="T120" s="191"/>
      <c r="U120" s="191"/>
      <c r="V120" s="191"/>
      <c r="W120" s="191"/>
      <c r="X120" s="191"/>
      <c r="Y120" s="191"/>
      <c r="Z120" s="191"/>
      <c r="AA120" s="191"/>
      <c r="AB120" s="191"/>
      <c r="AC120" s="191"/>
      <c r="AI120" s="2"/>
      <c r="AJ120" s="2"/>
      <c r="AK120" s="2"/>
      <c r="AL120" s="2"/>
      <c r="AM120" s="2"/>
    </row>
    <row r="121" spans="2:39" s="95" customFormat="1" ht="15" customHeight="1" x14ac:dyDescent="0.2">
      <c r="B121" s="96"/>
      <c r="H121" s="95">
        <f t="shared" si="4"/>
        <v>1</v>
      </c>
      <c r="I121" s="188">
        <v>120</v>
      </c>
      <c r="J121" s="181" t="s">
        <v>318</v>
      </c>
      <c r="K121" s="181">
        <v>-4</v>
      </c>
      <c r="L121" s="192">
        <v>0.16666666666666666</v>
      </c>
      <c r="M121" s="188"/>
      <c r="N121" s="188"/>
      <c r="O121" s="188"/>
      <c r="P121" s="188"/>
      <c r="Q121" s="207"/>
      <c r="R121" s="188"/>
      <c r="T121" s="191"/>
      <c r="U121" s="191"/>
      <c r="V121" s="191"/>
      <c r="W121" s="191"/>
      <c r="X121" s="191"/>
      <c r="Y121" s="191"/>
      <c r="Z121" s="191"/>
      <c r="AA121" s="191"/>
      <c r="AB121" s="191"/>
      <c r="AC121" s="191"/>
      <c r="AI121" s="2"/>
      <c r="AJ121" s="2"/>
      <c r="AK121" s="2"/>
      <c r="AL121" s="2"/>
      <c r="AM121" s="2"/>
    </row>
    <row r="122" spans="2:39" s="95" customFormat="1" ht="15" customHeight="1" x14ac:dyDescent="0.2">
      <c r="B122" s="96"/>
      <c r="H122" s="95">
        <f t="shared" si="4"/>
        <v>-2</v>
      </c>
      <c r="I122" s="188">
        <v>121</v>
      </c>
      <c r="J122" s="181" t="s">
        <v>319</v>
      </c>
      <c r="K122" s="181">
        <v>-7</v>
      </c>
      <c r="L122" s="192">
        <v>0.29166666666666669</v>
      </c>
      <c r="M122" s="188"/>
      <c r="N122" s="188"/>
      <c r="O122" s="188"/>
      <c r="P122" s="188"/>
      <c r="Q122" s="207"/>
      <c r="R122" s="188"/>
      <c r="T122" s="191"/>
      <c r="U122" s="191"/>
      <c r="V122" s="191"/>
      <c r="W122" s="191"/>
      <c r="X122" s="191"/>
      <c r="Y122" s="191"/>
      <c r="Z122" s="191"/>
      <c r="AA122" s="191"/>
      <c r="AB122" s="191"/>
      <c r="AC122" s="191"/>
      <c r="AI122" s="2"/>
      <c r="AJ122" s="2"/>
      <c r="AK122" s="2"/>
      <c r="AL122" s="2"/>
      <c r="AM122" s="2"/>
    </row>
    <row r="123" spans="2:39" s="95" customFormat="1" ht="15" customHeight="1" x14ac:dyDescent="0.2">
      <c r="B123" s="96"/>
      <c r="H123" s="95">
        <f t="shared" si="4"/>
        <v>5</v>
      </c>
      <c r="I123" s="188">
        <v>122</v>
      </c>
      <c r="J123" s="181" t="s">
        <v>320</v>
      </c>
      <c r="K123" s="181">
        <v>0</v>
      </c>
      <c r="L123" s="192">
        <v>0</v>
      </c>
      <c r="M123" s="188"/>
      <c r="N123" s="188"/>
      <c r="O123" s="188"/>
      <c r="P123" s="188"/>
      <c r="Q123" s="190"/>
      <c r="R123" s="188"/>
      <c r="T123" s="191"/>
      <c r="U123" s="191"/>
      <c r="V123" s="191"/>
      <c r="W123" s="191"/>
      <c r="X123" s="191"/>
      <c r="Y123" s="191"/>
      <c r="Z123" s="191"/>
      <c r="AA123" s="191"/>
      <c r="AB123" s="191"/>
      <c r="AC123" s="191"/>
      <c r="AI123" s="2"/>
      <c r="AJ123" s="2"/>
      <c r="AK123" s="2"/>
      <c r="AL123" s="2"/>
      <c r="AM123" s="2"/>
    </row>
    <row r="124" spans="2:39" s="95" customFormat="1" ht="15" customHeight="1" x14ac:dyDescent="0.2">
      <c r="B124" s="96"/>
      <c r="H124" s="95">
        <f t="shared" si="4"/>
        <v>15</v>
      </c>
      <c r="I124" s="188">
        <v>123</v>
      </c>
      <c r="J124" s="181" t="s">
        <v>321</v>
      </c>
      <c r="K124" s="181">
        <v>10</v>
      </c>
      <c r="L124" s="192">
        <v>0.41666666666666669</v>
      </c>
      <c r="M124" s="188"/>
      <c r="N124" s="188"/>
      <c r="O124" s="188"/>
      <c r="P124" s="188"/>
      <c r="Q124" s="190"/>
      <c r="R124" s="188"/>
      <c r="T124" s="191"/>
      <c r="U124" s="191"/>
      <c r="V124" s="191"/>
      <c r="W124" s="191"/>
      <c r="X124" s="191"/>
      <c r="Y124" s="191"/>
      <c r="Z124" s="191"/>
      <c r="AA124" s="191"/>
      <c r="AB124" s="191"/>
      <c r="AC124" s="191"/>
      <c r="AI124" s="2"/>
      <c r="AJ124" s="2"/>
      <c r="AK124" s="2"/>
      <c r="AL124" s="2"/>
      <c r="AM124" s="2"/>
    </row>
    <row r="125" spans="2:39" s="95" customFormat="1" ht="15" customHeight="1" x14ac:dyDescent="0.2">
      <c r="B125" s="96"/>
      <c r="H125" s="95">
        <f t="shared" si="4"/>
        <v>13</v>
      </c>
      <c r="I125" s="188">
        <v>124</v>
      </c>
      <c r="J125" s="181" t="s">
        <v>322</v>
      </c>
      <c r="K125" s="181">
        <v>8</v>
      </c>
      <c r="L125" s="192">
        <v>0.33333333333333331</v>
      </c>
      <c r="M125" s="188"/>
      <c r="N125" s="188"/>
      <c r="O125" s="188"/>
      <c r="P125" s="188"/>
      <c r="Q125" s="190"/>
      <c r="R125" s="188"/>
      <c r="T125" s="191"/>
      <c r="U125" s="191"/>
      <c r="V125" s="191"/>
      <c r="W125" s="191"/>
      <c r="X125" s="191"/>
      <c r="Y125" s="191"/>
      <c r="Z125" s="191"/>
      <c r="AA125" s="191"/>
      <c r="AB125" s="191"/>
      <c r="AC125" s="191"/>
      <c r="AI125" s="2"/>
      <c r="AJ125" s="2"/>
      <c r="AK125" s="2"/>
      <c r="AL125" s="2"/>
      <c r="AM125" s="2"/>
    </row>
    <row r="126" spans="2:39" s="95" customFormat="1" ht="15" customHeight="1" x14ac:dyDescent="0.2">
      <c r="B126" s="96"/>
      <c r="H126" s="95">
        <f t="shared" si="4"/>
        <v>11</v>
      </c>
      <c r="I126" s="188">
        <v>125</v>
      </c>
      <c r="J126" s="181" t="s">
        <v>323</v>
      </c>
      <c r="K126" s="181">
        <v>6</v>
      </c>
      <c r="L126" s="192">
        <v>0.25</v>
      </c>
      <c r="M126" s="188"/>
      <c r="N126" s="188"/>
      <c r="O126" s="188"/>
      <c r="P126" s="188"/>
      <c r="Q126" s="190"/>
      <c r="R126" s="188"/>
      <c r="T126" s="191"/>
      <c r="U126" s="191"/>
      <c r="V126" s="191"/>
      <c r="W126" s="191"/>
      <c r="X126" s="191"/>
      <c r="Y126" s="191"/>
      <c r="Z126" s="191"/>
      <c r="AA126" s="191"/>
      <c r="AB126" s="191"/>
      <c r="AC126" s="191"/>
      <c r="AI126" s="2"/>
      <c r="AJ126" s="2"/>
      <c r="AK126" s="2"/>
      <c r="AL126" s="2"/>
      <c r="AM126" s="2"/>
    </row>
    <row r="127" spans="2:39" s="95" customFormat="1" ht="15" customHeight="1" x14ac:dyDescent="0.2">
      <c r="B127" s="96"/>
      <c r="H127" s="95">
        <f t="shared" si="4"/>
        <v>6</v>
      </c>
      <c r="I127" s="188">
        <v>126</v>
      </c>
      <c r="J127" s="181" t="s">
        <v>324</v>
      </c>
      <c r="K127" s="181">
        <v>1</v>
      </c>
      <c r="L127" s="192">
        <v>4.1666666666666664E-2</v>
      </c>
      <c r="M127" s="188"/>
      <c r="N127" s="188"/>
      <c r="O127" s="188"/>
      <c r="P127" s="188"/>
      <c r="Q127" s="190"/>
      <c r="R127" s="188"/>
      <c r="T127" s="191"/>
      <c r="U127" s="191"/>
      <c r="V127" s="191"/>
      <c r="W127" s="191"/>
      <c r="X127" s="191"/>
      <c r="Y127" s="191"/>
      <c r="Z127" s="191"/>
      <c r="AA127" s="191"/>
      <c r="AB127" s="191"/>
      <c r="AC127" s="191"/>
      <c r="AI127" s="2"/>
      <c r="AJ127" s="2"/>
      <c r="AK127" s="2"/>
      <c r="AL127" s="2"/>
      <c r="AM127" s="2"/>
    </row>
    <row r="128" spans="2:39" s="95" customFormat="1" ht="15" customHeight="1" x14ac:dyDescent="0.2">
      <c r="B128" s="96"/>
      <c r="H128" s="95">
        <f t="shared" si="4"/>
        <v>8</v>
      </c>
      <c r="I128" s="188">
        <v>127</v>
      </c>
      <c r="J128" s="181" t="s">
        <v>325</v>
      </c>
      <c r="K128" s="181">
        <v>3</v>
      </c>
      <c r="L128" s="192">
        <v>0.125</v>
      </c>
      <c r="M128" s="188"/>
      <c r="N128" s="188"/>
      <c r="O128" s="188"/>
      <c r="P128" s="188"/>
      <c r="Q128" s="190"/>
      <c r="R128" s="188"/>
      <c r="T128" s="191"/>
      <c r="U128" s="191"/>
      <c r="V128" s="191"/>
      <c r="W128" s="191"/>
      <c r="X128" s="191"/>
      <c r="Y128" s="191"/>
      <c r="Z128" s="191"/>
      <c r="AA128" s="191"/>
      <c r="AB128" s="191"/>
      <c r="AC128" s="191"/>
      <c r="AI128" s="2"/>
      <c r="AJ128" s="2"/>
      <c r="AK128" s="2"/>
      <c r="AL128" s="2"/>
      <c r="AM128" s="2"/>
    </row>
    <row r="129" spans="2:39" s="95" customFormat="1" ht="15" customHeight="1" x14ac:dyDescent="0.2">
      <c r="B129" s="96"/>
      <c r="H129" s="95">
        <f t="shared" si="4"/>
        <v>-3</v>
      </c>
      <c r="I129" s="188">
        <v>128</v>
      </c>
      <c r="J129" s="181" t="s">
        <v>326</v>
      </c>
      <c r="K129" s="181">
        <v>-8</v>
      </c>
      <c r="L129" s="192">
        <v>0.33333333333333331</v>
      </c>
      <c r="M129" s="188"/>
      <c r="N129" s="188"/>
      <c r="O129" s="188"/>
      <c r="P129" s="188"/>
      <c r="Q129" s="190"/>
      <c r="R129" s="188"/>
      <c r="T129" s="191"/>
      <c r="U129" s="191"/>
      <c r="V129" s="191"/>
      <c r="W129" s="191"/>
      <c r="X129" s="191"/>
      <c r="Y129" s="191"/>
      <c r="Z129" s="191"/>
      <c r="AA129" s="191"/>
      <c r="AB129" s="191"/>
      <c r="AC129" s="191"/>
      <c r="AI129" s="2"/>
      <c r="AJ129" s="2"/>
      <c r="AK129" s="2"/>
      <c r="AL129" s="2"/>
      <c r="AM129" s="2"/>
    </row>
    <row r="130" spans="2:39" s="95" customFormat="1" ht="15" customHeight="1" x14ac:dyDescent="0.2">
      <c r="B130" s="96"/>
      <c r="H130" s="95">
        <f t="shared" si="4"/>
        <v>7.5</v>
      </c>
      <c r="I130" s="188">
        <v>129</v>
      </c>
      <c r="J130" s="181" t="s">
        <v>327</v>
      </c>
      <c r="K130" s="181">
        <v>2.5</v>
      </c>
      <c r="L130" s="192">
        <v>0.10416666666666667</v>
      </c>
      <c r="M130" s="188"/>
      <c r="N130" s="188"/>
      <c r="O130" s="188"/>
      <c r="P130" s="188"/>
      <c r="Q130" s="190"/>
      <c r="R130" s="188"/>
      <c r="T130" s="191"/>
      <c r="U130" s="191"/>
      <c r="V130" s="191"/>
      <c r="W130" s="191"/>
      <c r="X130" s="191"/>
      <c r="Y130" s="191"/>
      <c r="Z130" s="191"/>
      <c r="AA130" s="191"/>
      <c r="AB130" s="191"/>
      <c r="AC130" s="191"/>
      <c r="AI130" s="2"/>
      <c r="AJ130" s="2"/>
      <c r="AK130" s="2"/>
      <c r="AL130" s="2"/>
      <c r="AM130" s="2"/>
    </row>
    <row r="131" spans="2:39" s="95" customFormat="1" ht="15" customHeight="1" x14ac:dyDescent="0.2">
      <c r="B131" s="96"/>
      <c r="H131" s="95">
        <f t="shared" si="4"/>
        <v>12</v>
      </c>
      <c r="I131" s="188">
        <v>130</v>
      </c>
      <c r="J131" s="181" t="s">
        <v>328</v>
      </c>
      <c r="K131" s="181">
        <v>7</v>
      </c>
      <c r="L131" s="192">
        <v>0.29166666666666669</v>
      </c>
      <c r="M131" s="188"/>
      <c r="N131" s="188"/>
      <c r="O131" s="188"/>
      <c r="P131" s="188"/>
      <c r="Q131" s="190"/>
      <c r="R131" s="188"/>
      <c r="T131" s="191"/>
      <c r="U131" s="191"/>
      <c r="V131" s="191"/>
      <c r="W131" s="191"/>
      <c r="X131" s="191"/>
      <c r="Y131" s="191"/>
      <c r="Z131" s="191"/>
      <c r="AA131" s="191"/>
      <c r="AB131" s="191"/>
      <c r="AC131" s="191"/>
      <c r="AI131" s="2"/>
      <c r="AJ131" s="2"/>
      <c r="AK131" s="2"/>
      <c r="AL131" s="2"/>
      <c r="AM131" s="2"/>
    </row>
    <row r="132" spans="2:39" s="95" customFormat="1" ht="15" customHeight="1" x14ac:dyDescent="0.2">
      <c r="B132" s="96"/>
      <c r="H132" s="95">
        <f t="shared" si="4"/>
        <v>-1</v>
      </c>
      <c r="I132" s="188">
        <v>131</v>
      </c>
      <c r="J132" s="181" t="s">
        <v>329</v>
      </c>
      <c r="K132" s="181">
        <v>-6</v>
      </c>
      <c r="L132" s="192">
        <v>0.25</v>
      </c>
      <c r="M132" s="188"/>
      <c r="N132" s="188"/>
      <c r="O132" s="188"/>
      <c r="P132" s="188"/>
      <c r="Q132" s="190"/>
      <c r="R132" s="188"/>
      <c r="T132" s="191"/>
      <c r="U132" s="191"/>
      <c r="V132" s="191"/>
      <c r="W132" s="191"/>
      <c r="X132" s="191"/>
      <c r="Y132" s="191"/>
      <c r="Z132" s="191"/>
      <c r="AA132" s="191"/>
      <c r="AB132" s="191"/>
      <c r="AC132" s="191"/>
      <c r="AI132" s="2"/>
      <c r="AJ132" s="2"/>
      <c r="AK132" s="2"/>
      <c r="AL132" s="2"/>
      <c r="AM132" s="2"/>
    </row>
    <row r="133" spans="2:39" s="95" customFormat="1" ht="15" customHeight="1" x14ac:dyDescent="0.2">
      <c r="B133" s="96"/>
      <c r="H133" s="95">
        <f t="shared" si="4"/>
        <v>-4</v>
      </c>
      <c r="I133" s="188">
        <v>132</v>
      </c>
      <c r="J133" s="181" t="s">
        <v>330</v>
      </c>
      <c r="K133" s="181">
        <v>-9</v>
      </c>
      <c r="L133" s="192">
        <v>0.375</v>
      </c>
      <c r="M133" s="188"/>
      <c r="N133" s="188"/>
      <c r="O133" s="188"/>
      <c r="P133" s="188"/>
      <c r="Q133" s="190"/>
      <c r="R133" s="188"/>
      <c r="T133" s="191"/>
      <c r="U133" s="191"/>
      <c r="V133" s="191"/>
      <c r="W133" s="191"/>
      <c r="X133" s="191"/>
      <c r="Y133" s="191"/>
      <c r="Z133" s="191"/>
      <c r="AA133" s="191"/>
      <c r="AB133" s="191"/>
      <c r="AC133" s="191"/>
      <c r="AI133" s="2"/>
      <c r="AJ133" s="2"/>
      <c r="AK133" s="2"/>
      <c r="AL133" s="2"/>
      <c r="AM133" s="2"/>
    </row>
    <row r="134" spans="2:39" s="95" customFormat="1" ht="15" customHeight="1" x14ac:dyDescent="0.2">
      <c r="B134" s="96"/>
      <c r="H134" s="95">
        <f t="shared" si="4"/>
        <v>5</v>
      </c>
      <c r="I134" s="188">
        <v>133</v>
      </c>
      <c r="J134" s="181" t="s">
        <v>331</v>
      </c>
      <c r="K134" s="181">
        <v>0</v>
      </c>
      <c r="L134" s="192">
        <v>0</v>
      </c>
      <c r="M134" s="188"/>
      <c r="N134" s="188"/>
      <c r="O134" s="188"/>
      <c r="P134" s="188"/>
      <c r="Q134" s="190"/>
      <c r="R134" s="188"/>
      <c r="T134" s="191"/>
      <c r="U134" s="191"/>
      <c r="V134" s="191"/>
      <c r="W134" s="191"/>
      <c r="X134" s="191"/>
      <c r="Y134" s="191"/>
      <c r="Z134" s="191"/>
      <c r="AA134" s="191"/>
      <c r="AB134" s="191"/>
      <c r="AC134" s="191"/>
      <c r="AI134" s="2"/>
      <c r="AJ134" s="2"/>
      <c r="AK134" s="2"/>
      <c r="AL134" s="2"/>
      <c r="AM134" s="2"/>
    </row>
    <row r="135" spans="2:39" s="95" customFormat="1" ht="15" customHeight="1" x14ac:dyDescent="0.2">
      <c r="B135" s="96"/>
      <c r="H135" s="95">
        <f t="shared" si="4"/>
        <v>14</v>
      </c>
      <c r="I135" s="188">
        <v>134</v>
      </c>
      <c r="J135" s="181" t="s">
        <v>332</v>
      </c>
      <c r="K135" s="181">
        <v>9</v>
      </c>
      <c r="L135" s="192">
        <v>0.375</v>
      </c>
      <c r="M135" s="188"/>
      <c r="N135" s="188"/>
      <c r="O135" s="188"/>
      <c r="P135" s="188"/>
      <c r="Q135" s="190"/>
      <c r="R135" s="188"/>
      <c r="T135" s="191"/>
      <c r="U135" s="191"/>
      <c r="V135" s="191"/>
      <c r="W135" s="191"/>
      <c r="X135" s="191"/>
      <c r="Y135" s="191"/>
      <c r="Z135" s="191"/>
      <c r="AA135" s="191"/>
      <c r="AB135" s="191"/>
      <c r="AC135" s="191"/>
      <c r="AI135" s="2"/>
      <c r="AJ135" s="2"/>
      <c r="AK135" s="2"/>
      <c r="AL135" s="2"/>
      <c r="AM135" s="2"/>
    </row>
    <row r="136" spans="2:39" s="95" customFormat="1" ht="15" customHeight="1" x14ac:dyDescent="0.2">
      <c r="B136" s="96"/>
      <c r="H136" s="95">
        <f t="shared" si="4"/>
        <v>5</v>
      </c>
      <c r="I136" s="188">
        <v>135</v>
      </c>
      <c r="J136" s="181" t="s">
        <v>333</v>
      </c>
      <c r="K136" s="181">
        <v>0</v>
      </c>
      <c r="L136" s="192">
        <v>0</v>
      </c>
      <c r="M136" s="188"/>
      <c r="N136" s="188"/>
      <c r="O136" s="188"/>
      <c r="P136" s="188"/>
      <c r="Q136" s="190"/>
      <c r="R136" s="188"/>
      <c r="T136" s="191"/>
      <c r="U136" s="191"/>
      <c r="V136" s="191"/>
      <c r="W136" s="191"/>
      <c r="X136" s="191"/>
      <c r="Y136" s="191"/>
      <c r="Z136" s="191"/>
      <c r="AA136" s="191"/>
      <c r="AB136" s="191"/>
      <c r="AC136" s="191"/>
      <c r="AI136" s="2"/>
      <c r="AJ136" s="2"/>
      <c r="AK136" s="2"/>
      <c r="AL136" s="2"/>
      <c r="AM136" s="2"/>
    </row>
    <row r="137" spans="2:39" s="95" customFormat="1" ht="15" customHeight="1" x14ac:dyDescent="0.2">
      <c r="B137" s="96"/>
      <c r="H137" s="95">
        <f t="shared" si="4"/>
        <v>-1</v>
      </c>
      <c r="I137" s="188">
        <v>136</v>
      </c>
      <c r="J137" s="181" t="s">
        <v>334</v>
      </c>
      <c r="K137" s="181">
        <v>-6</v>
      </c>
      <c r="L137" s="192">
        <v>0.25</v>
      </c>
      <c r="M137" s="188"/>
      <c r="N137" s="188"/>
      <c r="O137" s="188"/>
      <c r="P137" s="188"/>
      <c r="Q137" s="190"/>
      <c r="R137" s="188"/>
      <c r="T137" s="191"/>
      <c r="U137" s="191"/>
      <c r="V137" s="191"/>
      <c r="W137" s="191"/>
      <c r="X137" s="191"/>
      <c r="Y137" s="191"/>
      <c r="Z137" s="191"/>
      <c r="AA137" s="191"/>
      <c r="AB137" s="191"/>
      <c r="AC137" s="191"/>
      <c r="AI137" s="2"/>
      <c r="AJ137" s="2"/>
      <c r="AK137" s="2"/>
      <c r="AL137" s="2"/>
      <c r="AM137" s="2"/>
    </row>
    <row r="138" spans="2:39" s="95" customFormat="1" ht="15" customHeight="1" x14ac:dyDescent="0.2">
      <c r="B138" s="96"/>
      <c r="H138" s="95">
        <f t="shared" si="4"/>
        <v>9.5</v>
      </c>
      <c r="I138" s="188">
        <v>137</v>
      </c>
      <c r="J138" s="181" t="s">
        <v>335</v>
      </c>
      <c r="K138" s="181">
        <v>4.5</v>
      </c>
      <c r="L138" s="192">
        <v>0.1875</v>
      </c>
      <c r="M138" s="188"/>
      <c r="N138" s="188"/>
      <c r="O138" s="188"/>
      <c r="P138" s="188"/>
      <c r="Q138" s="190"/>
      <c r="R138" s="188"/>
      <c r="T138" s="191"/>
      <c r="U138" s="191"/>
      <c r="V138" s="191"/>
      <c r="W138" s="191"/>
      <c r="X138" s="191"/>
      <c r="Y138" s="191"/>
      <c r="Z138" s="191"/>
      <c r="AA138" s="191"/>
      <c r="AB138" s="191"/>
      <c r="AC138" s="191"/>
      <c r="AI138" s="2"/>
      <c r="AJ138" s="2"/>
      <c r="AK138" s="2"/>
      <c r="AL138" s="2"/>
      <c r="AM138" s="2"/>
    </row>
    <row r="139" spans="2:39" s="95" customFormat="1" ht="15" customHeight="1" x14ac:dyDescent="0.2">
      <c r="B139" s="96"/>
      <c r="H139" s="95">
        <f t="shared" si="4"/>
        <v>5</v>
      </c>
      <c r="I139" s="188">
        <v>138</v>
      </c>
      <c r="J139" s="181" t="s">
        <v>336</v>
      </c>
      <c r="K139" s="181">
        <v>0</v>
      </c>
      <c r="L139" s="192">
        <v>0</v>
      </c>
      <c r="M139" s="188"/>
      <c r="N139" s="188"/>
      <c r="O139" s="188"/>
      <c r="P139" s="188"/>
      <c r="Q139" s="190"/>
      <c r="R139" s="188"/>
      <c r="T139" s="191"/>
      <c r="U139" s="191"/>
      <c r="V139" s="191"/>
      <c r="W139" s="191"/>
      <c r="X139" s="191"/>
      <c r="Y139" s="191"/>
      <c r="Z139" s="191"/>
      <c r="AA139" s="191"/>
      <c r="AB139" s="191"/>
      <c r="AC139" s="191"/>
      <c r="AI139" s="2"/>
      <c r="AJ139" s="2"/>
      <c r="AK139" s="2"/>
      <c r="AL139" s="2"/>
      <c r="AM139" s="2"/>
    </row>
    <row r="140" spans="2:39" s="95" customFormat="1" ht="15" customHeight="1" x14ac:dyDescent="0.2">
      <c r="B140" s="96"/>
      <c r="H140" s="95">
        <f t="shared" si="4"/>
        <v>5</v>
      </c>
      <c r="I140" s="188">
        <v>139</v>
      </c>
      <c r="J140" s="181" t="s">
        <v>337</v>
      </c>
      <c r="K140" s="181">
        <v>0</v>
      </c>
      <c r="L140" s="192">
        <v>0</v>
      </c>
      <c r="M140" s="188"/>
      <c r="N140" s="188"/>
      <c r="O140" s="188"/>
      <c r="P140" s="188"/>
      <c r="Q140" s="190"/>
      <c r="R140" s="188"/>
      <c r="T140" s="191"/>
      <c r="U140" s="191"/>
      <c r="V140" s="191"/>
      <c r="W140" s="191"/>
      <c r="X140" s="191"/>
      <c r="Y140" s="191"/>
      <c r="Z140" s="191"/>
      <c r="AA140" s="191"/>
      <c r="AB140" s="191"/>
      <c r="AC140" s="191"/>
      <c r="AI140" s="2"/>
      <c r="AJ140" s="2"/>
      <c r="AK140" s="2"/>
      <c r="AL140" s="2"/>
      <c r="AM140" s="2"/>
    </row>
    <row r="141" spans="2:39" ht="15" customHeight="1" x14ac:dyDescent="0.2">
      <c r="I141" s="188"/>
      <c r="J141" s="188"/>
      <c r="K141" s="189"/>
      <c r="L141" s="188"/>
      <c r="M141" s="188"/>
      <c r="N141" s="188"/>
      <c r="O141" s="188"/>
      <c r="P141" s="188"/>
      <c r="Q141" s="190"/>
      <c r="R141" s="188"/>
    </row>
    <row r="142" spans="2:39" ht="15" customHeight="1" x14ac:dyDescent="0.2">
      <c r="I142" s="188"/>
      <c r="J142" s="188"/>
      <c r="K142" s="189"/>
      <c r="L142" s="188"/>
      <c r="M142" s="188"/>
      <c r="N142" s="188"/>
      <c r="O142" s="188"/>
      <c r="P142" s="188"/>
      <c r="Q142" s="190"/>
      <c r="R142" s="188"/>
    </row>
    <row r="143" spans="2:39" ht="15" customHeight="1" x14ac:dyDescent="0.2">
      <c r="I143" s="188"/>
      <c r="J143" s="188"/>
      <c r="K143" s="189"/>
      <c r="L143" s="188"/>
      <c r="M143" s="188"/>
      <c r="N143" s="188"/>
      <c r="O143" s="188"/>
      <c r="P143" s="188"/>
      <c r="Q143" s="190"/>
      <c r="R143" s="188"/>
    </row>
    <row r="144" spans="2:39" ht="15" customHeight="1" x14ac:dyDescent="0.2">
      <c r="I144" s="188"/>
      <c r="J144" s="188"/>
      <c r="K144" s="189"/>
      <c r="L144" s="188"/>
      <c r="M144" s="188"/>
      <c r="N144" s="188"/>
      <c r="O144" s="188"/>
      <c r="P144" s="188"/>
      <c r="Q144" s="190"/>
      <c r="R144" s="188"/>
    </row>
    <row r="145" spans="9:18" ht="15" customHeight="1" x14ac:dyDescent="0.2">
      <c r="I145" s="188"/>
      <c r="J145" s="188"/>
      <c r="K145" s="189"/>
      <c r="L145" s="188"/>
      <c r="M145" s="188"/>
      <c r="N145" s="188"/>
      <c r="O145" s="188"/>
      <c r="P145" s="188"/>
      <c r="Q145" s="190"/>
      <c r="R145" s="188"/>
    </row>
  </sheetData>
  <sheetProtection password="CE6F" sheet="1" objects="1" scenarios="1" selectLockedCells="1" selectUnlockedCells="1"/>
  <mergeCells count="8">
    <mergeCell ref="A31:A34"/>
    <mergeCell ref="A35:A38"/>
    <mergeCell ref="A7:A10"/>
    <mergeCell ref="A11:A14"/>
    <mergeCell ref="A15:A18"/>
    <mergeCell ref="A19:A22"/>
    <mergeCell ref="A23:A26"/>
    <mergeCell ref="A27:A30"/>
  </mergeCells>
  <conditionalFormatting sqref="N9">
    <cfRule type="expression" dxfId="143" priority="4">
      <formula>$N$8=""</formula>
    </cfRule>
  </conditionalFormatting>
  <pageMargins left="0.75" right="0.75" top="1" bottom="1" header="0.5" footer="0.5"/>
  <pageSetup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2"/>
  <sheetViews>
    <sheetView showGridLines="0" workbookViewId="0">
      <selection activeCell="G13" sqref="G13"/>
    </sheetView>
  </sheetViews>
  <sheetFormatPr baseColWidth="10" defaultColWidth="0" defaultRowHeight="15" zeroHeight="1" x14ac:dyDescent="0.2"/>
  <cols>
    <col min="1" max="1" width="2.5703125" style="155" customWidth="1"/>
    <col min="2" max="2" width="3.28515625" style="155" bestFit="1" customWidth="1"/>
    <col min="3" max="3" width="48.28515625" style="155" bestFit="1" customWidth="1"/>
    <col min="4" max="4" width="2.28515625" style="160" customWidth="1"/>
    <col min="5" max="5" width="24.28515625" style="155" customWidth="1"/>
    <col min="6" max="6" width="2.28515625" style="155" customWidth="1"/>
    <col min="7" max="7" width="33" style="155" customWidth="1"/>
    <col min="8" max="16384" width="8.85546875" style="155" hidden="1"/>
  </cols>
  <sheetData>
    <row r="1" spans="2:7" ht="15" customHeight="1" thickBot="1" x14ac:dyDescent="0.25"/>
    <row r="2" spans="2:7" ht="15" customHeight="1" thickBot="1" x14ac:dyDescent="0.25">
      <c r="B2" s="156" t="s">
        <v>3994</v>
      </c>
      <c r="C2" s="157"/>
      <c r="D2" s="161"/>
      <c r="E2" s="158"/>
    </row>
    <row r="3" spans="2:7" ht="15" customHeight="1" x14ac:dyDescent="0.2">
      <c r="C3" s="155" t="s">
        <v>3995</v>
      </c>
      <c r="D3" s="160" t="s">
        <v>4006</v>
      </c>
      <c r="E3" s="208" t="s">
        <v>4005</v>
      </c>
      <c r="G3" s="155" t="s">
        <v>4009</v>
      </c>
    </row>
    <row r="4" spans="2:7" ht="15" customHeight="1" x14ac:dyDescent="0.2">
      <c r="C4" s="155" t="s">
        <v>4002</v>
      </c>
      <c r="D4" s="209" t="s">
        <v>3997</v>
      </c>
      <c r="E4" s="159">
        <v>0.54166666666666663</v>
      </c>
      <c r="G4" s="219" t="s">
        <v>4007</v>
      </c>
    </row>
    <row r="5" spans="2:7" ht="15" customHeight="1" thickBot="1" x14ac:dyDescent="0.25">
      <c r="G5" s="219"/>
    </row>
    <row r="6" spans="2:7" ht="15" customHeight="1" thickBot="1" x14ac:dyDescent="0.25">
      <c r="B6" s="156" t="s">
        <v>3993</v>
      </c>
      <c r="C6" s="157"/>
      <c r="D6" s="161"/>
      <c r="E6" s="158"/>
    </row>
    <row r="7" spans="2:7" ht="15" customHeight="1" thickBot="1" x14ac:dyDescent="0.25">
      <c r="C7" s="155" t="s">
        <v>4003</v>
      </c>
      <c r="D7" s="160" t="s">
        <v>4006</v>
      </c>
      <c r="E7" s="210" t="s">
        <v>4004</v>
      </c>
      <c r="G7" s="155" t="s">
        <v>4008</v>
      </c>
    </row>
    <row r="8" spans="2:7" ht="15" customHeight="1" thickBot="1" x14ac:dyDescent="0.25">
      <c r="C8" s="156" t="s">
        <v>3996</v>
      </c>
      <c r="D8" s="162"/>
      <c r="E8" s="211" t="s">
        <v>160</v>
      </c>
    </row>
    <row r="9" spans="2:7" ht="15" customHeight="1" x14ac:dyDescent="0.2">
      <c r="C9" s="164" t="s">
        <v>18</v>
      </c>
      <c r="D9" s="152" t="s">
        <v>4006</v>
      </c>
      <c r="E9" s="208" t="str">
        <f t="shared" ref="E9:E32" si="0">C9</f>
        <v>France</v>
      </c>
      <c r="G9" s="155" t="s">
        <v>4010</v>
      </c>
    </row>
    <row r="10" spans="2:7" ht="15" customHeight="1" x14ac:dyDescent="0.2">
      <c r="C10" s="165" t="s">
        <v>57</v>
      </c>
      <c r="D10" s="163" t="s">
        <v>4006</v>
      </c>
      <c r="E10" s="212" t="str">
        <f t="shared" si="0"/>
        <v>Romania</v>
      </c>
      <c r="G10" s="219"/>
    </row>
    <row r="11" spans="2:7" ht="15" customHeight="1" x14ac:dyDescent="0.2">
      <c r="C11" s="165" t="s">
        <v>105</v>
      </c>
      <c r="D11" s="163" t="s">
        <v>4006</v>
      </c>
      <c r="E11" s="212" t="str">
        <f t="shared" si="0"/>
        <v>Albania</v>
      </c>
      <c r="G11" s="219"/>
    </row>
    <row r="12" spans="2:7" ht="15" customHeight="1" x14ac:dyDescent="0.2">
      <c r="C12" s="165" t="s">
        <v>106</v>
      </c>
      <c r="D12" s="163" t="s">
        <v>4006</v>
      </c>
      <c r="E12" s="212" t="str">
        <f t="shared" si="0"/>
        <v>Switzerland</v>
      </c>
    </row>
    <row r="13" spans="2:7" ht="15" customHeight="1" x14ac:dyDescent="0.2">
      <c r="C13" s="165" t="s">
        <v>4</v>
      </c>
      <c r="D13" s="163" t="s">
        <v>4006</v>
      </c>
      <c r="E13" s="212" t="str">
        <f t="shared" si="0"/>
        <v>England</v>
      </c>
    </row>
    <row r="14" spans="2:7" ht="15" customHeight="1" x14ac:dyDescent="0.2">
      <c r="C14" s="165" t="s">
        <v>107</v>
      </c>
      <c r="D14" s="163" t="s">
        <v>4006</v>
      </c>
      <c r="E14" s="212" t="str">
        <f t="shared" si="0"/>
        <v>Russia</v>
      </c>
    </row>
    <row r="15" spans="2:7" ht="15" customHeight="1" x14ac:dyDescent="0.2">
      <c r="C15" s="165" t="s">
        <v>54</v>
      </c>
      <c r="D15" s="163" t="s">
        <v>4006</v>
      </c>
      <c r="E15" s="212" t="str">
        <f t="shared" si="0"/>
        <v>Wales</v>
      </c>
    </row>
    <row r="16" spans="2:7" ht="15" customHeight="1" x14ac:dyDescent="0.2">
      <c r="C16" s="165" t="s">
        <v>108</v>
      </c>
      <c r="D16" s="163" t="s">
        <v>4006</v>
      </c>
      <c r="E16" s="212" t="str">
        <f t="shared" si="0"/>
        <v>Slovakia</v>
      </c>
    </row>
    <row r="17" spans="3:5" ht="15" customHeight="1" x14ac:dyDescent="0.2">
      <c r="C17" s="165" t="s">
        <v>109</v>
      </c>
      <c r="D17" s="163" t="s">
        <v>4006</v>
      </c>
      <c r="E17" s="212" t="str">
        <f t="shared" si="0"/>
        <v>Germany</v>
      </c>
    </row>
    <row r="18" spans="3:5" ht="15" customHeight="1" x14ac:dyDescent="0.2">
      <c r="C18" s="165" t="s">
        <v>110</v>
      </c>
      <c r="D18" s="163" t="s">
        <v>4006</v>
      </c>
      <c r="E18" s="212" t="str">
        <f t="shared" si="0"/>
        <v>Ukraine</v>
      </c>
    </row>
    <row r="19" spans="3:5" ht="15" customHeight="1" x14ac:dyDescent="0.2">
      <c r="C19" s="165" t="s">
        <v>111</v>
      </c>
      <c r="D19" s="163" t="s">
        <v>4006</v>
      </c>
      <c r="E19" s="212" t="str">
        <f t="shared" si="0"/>
        <v>Poland</v>
      </c>
    </row>
    <row r="20" spans="3:5" ht="15" customHeight="1" x14ac:dyDescent="0.2">
      <c r="C20" s="165" t="s">
        <v>112</v>
      </c>
      <c r="D20" s="163" t="s">
        <v>4006</v>
      </c>
      <c r="E20" s="212" t="str">
        <f t="shared" si="0"/>
        <v>Northern Ireland</v>
      </c>
    </row>
    <row r="21" spans="3:5" ht="15" customHeight="1" x14ac:dyDescent="0.2">
      <c r="C21" s="165" t="s">
        <v>113</v>
      </c>
      <c r="D21" s="163" t="s">
        <v>4006</v>
      </c>
      <c r="E21" s="212" t="str">
        <f t="shared" si="0"/>
        <v>Spain</v>
      </c>
    </row>
    <row r="22" spans="3:5" ht="15" customHeight="1" x14ac:dyDescent="0.2">
      <c r="C22" s="165" t="s">
        <v>114</v>
      </c>
      <c r="D22" s="163" t="s">
        <v>4006</v>
      </c>
      <c r="E22" s="212" t="str">
        <f t="shared" si="0"/>
        <v>Czech Republic</v>
      </c>
    </row>
    <row r="23" spans="3:5" ht="15" customHeight="1" x14ac:dyDescent="0.2">
      <c r="C23" s="165" t="s">
        <v>115</v>
      </c>
      <c r="D23" s="163" t="s">
        <v>4006</v>
      </c>
      <c r="E23" s="212" t="str">
        <f t="shared" si="0"/>
        <v>Turkey</v>
      </c>
    </row>
    <row r="24" spans="3:5" ht="15" customHeight="1" x14ac:dyDescent="0.2">
      <c r="C24" s="165" t="s">
        <v>116</v>
      </c>
      <c r="D24" s="163" t="s">
        <v>4006</v>
      </c>
      <c r="E24" s="212" t="str">
        <f t="shared" si="0"/>
        <v>Croatia</v>
      </c>
    </row>
    <row r="25" spans="3:5" ht="15" customHeight="1" x14ac:dyDescent="0.2">
      <c r="C25" s="165" t="s">
        <v>117</v>
      </c>
      <c r="D25" s="163" t="s">
        <v>4006</v>
      </c>
      <c r="E25" s="212" t="str">
        <f t="shared" si="0"/>
        <v>Belgium</v>
      </c>
    </row>
    <row r="26" spans="3:5" ht="15" customHeight="1" x14ac:dyDescent="0.2">
      <c r="C26" s="165" t="s">
        <v>17</v>
      </c>
      <c r="D26" s="163" t="s">
        <v>4006</v>
      </c>
      <c r="E26" s="212" t="str">
        <f t="shared" si="0"/>
        <v>Italy</v>
      </c>
    </row>
    <row r="27" spans="3:5" ht="15" customHeight="1" x14ac:dyDescent="0.2">
      <c r="C27" s="165" t="s">
        <v>118</v>
      </c>
      <c r="D27" s="163" t="s">
        <v>4006</v>
      </c>
      <c r="E27" s="212" t="str">
        <f t="shared" si="0"/>
        <v>Republic of Ireland</v>
      </c>
    </row>
    <row r="28" spans="3:5" ht="15" customHeight="1" x14ac:dyDescent="0.2">
      <c r="C28" s="165" t="s">
        <v>119</v>
      </c>
      <c r="D28" s="163" t="s">
        <v>4006</v>
      </c>
      <c r="E28" s="212" t="str">
        <f t="shared" si="0"/>
        <v>Sweden</v>
      </c>
    </row>
    <row r="29" spans="3:5" ht="15" customHeight="1" x14ac:dyDescent="0.2">
      <c r="C29" s="165" t="s">
        <v>120</v>
      </c>
      <c r="D29" s="163" t="s">
        <v>4006</v>
      </c>
      <c r="E29" s="212" t="str">
        <f t="shared" si="0"/>
        <v>Portugal</v>
      </c>
    </row>
    <row r="30" spans="3:5" ht="15" customHeight="1" x14ac:dyDescent="0.2">
      <c r="C30" s="165" t="s">
        <v>121</v>
      </c>
      <c r="D30" s="163" t="s">
        <v>4006</v>
      </c>
      <c r="E30" s="212" t="str">
        <f t="shared" si="0"/>
        <v>Iceland</v>
      </c>
    </row>
    <row r="31" spans="3:5" ht="15" customHeight="1" x14ac:dyDescent="0.2">
      <c r="C31" s="165" t="s">
        <v>122</v>
      </c>
      <c r="D31" s="163" t="s">
        <v>4006</v>
      </c>
      <c r="E31" s="212" t="str">
        <f t="shared" si="0"/>
        <v>Austria</v>
      </c>
    </row>
    <row r="32" spans="3:5" ht="15" customHeight="1" x14ac:dyDescent="0.2">
      <c r="C32" s="165" t="s">
        <v>123</v>
      </c>
      <c r="D32" s="163" t="s">
        <v>4006</v>
      </c>
      <c r="E32" s="212" t="str">
        <f t="shared" si="0"/>
        <v>Hungary</v>
      </c>
    </row>
    <row r="33" spans="3:5" ht="15" customHeight="1" x14ac:dyDescent="0.2">
      <c r="C33" s="165" t="s">
        <v>124</v>
      </c>
      <c r="D33" s="163" t="s">
        <v>4006</v>
      </c>
      <c r="E33" s="212"/>
    </row>
    <row r="34" spans="3:5" ht="15" customHeight="1" x14ac:dyDescent="0.2">
      <c r="C34" s="165" t="s">
        <v>125</v>
      </c>
      <c r="D34" s="163" t="s">
        <v>4006</v>
      </c>
      <c r="E34" s="212"/>
    </row>
    <row r="35" spans="3:5" ht="15" customHeight="1" x14ac:dyDescent="0.2">
      <c r="C35" s="165" t="s">
        <v>126</v>
      </c>
      <c r="D35" s="163" t="s">
        <v>4006</v>
      </c>
      <c r="E35" s="212"/>
    </row>
    <row r="36" spans="3:5" ht="15" customHeight="1" x14ac:dyDescent="0.2">
      <c r="C36" s="165" t="s">
        <v>45</v>
      </c>
      <c r="D36" s="163" t="s">
        <v>4006</v>
      </c>
      <c r="E36" s="212"/>
    </row>
    <row r="37" spans="3:5" ht="15" customHeight="1" x14ac:dyDescent="0.2">
      <c r="C37" s="165" t="s">
        <v>11</v>
      </c>
      <c r="D37" s="163" t="s">
        <v>4006</v>
      </c>
      <c r="E37" s="212"/>
    </row>
    <row r="38" spans="3:5" ht="15" customHeight="1" x14ac:dyDescent="0.2">
      <c r="C38" s="165" t="s">
        <v>8</v>
      </c>
      <c r="D38" s="163" t="s">
        <v>4006</v>
      </c>
      <c r="E38" s="212"/>
    </row>
    <row r="39" spans="3:5" ht="15" customHeight="1" x14ac:dyDescent="0.2">
      <c r="C39" s="165" t="s">
        <v>15</v>
      </c>
      <c r="D39" s="163" t="s">
        <v>4006</v>
      </c>
      <c r="E39" s="212"/>
    </row>
    <row r="40" spans="3:5" ht="15" customHeight="1" x14ac:dyDescent="0.2">
      <c r="C40" s="165" t="s">
        <v>23</v>
      </c>
      <c r="D40" s="163" t="s">
        <v>4006</v>
      </c>
      <c r="E40" s="212"/>
    </row>
    <row r="41" spans="3:5" ht="15" customHeight="1" x14ac:dyDescent="0.2">
      <c r="C41" s="165" t="s">
        <v>12</v>
      </c>
      <c r="D41" s="163" t="s">
        <v>4006</v>
      </c>
      <c r="E41" s="212"/>
    </row>
    <row r="42" spans="3:5" ht="15" customHeight="1" x14ac:dyDescent="0.2">
      <c r="C42" s="165" t="s">
        <v>16</v>
      </c>
      <c r="D42" s="163" t="s">
        <v>4006</v>
      </c>
      <c r="E42" s="212"/>
    </row>
    <row r="43" spans="3:5" ht="15" customHeight="1" x14ac:dyDescent="0.2">
      <c r="C43" s="165" t="s">
        <v>127</v>
      </c>
      <c r="D43" s="163" t="s">
        <v>4006</v>
      </c>
      <c r="E43" s="212"/>
    </row>
    <row r="44" spans="3:5" ht="15" customHeight="1" x14ac:dyDescent="0.2">
      <c r="C44" s="165" t="s">
        <v>128</v>
      </c>
      <c r="D44" s="163" t="s">
        <v>4006</v>
      </c>
      <c r="E44" s="212"/>
    </row>
    <row r="45" spans="3:5" ht="15" customHeight="1" x14ac:dyDescent="0.2">
      <c r="C45" s="165" t="s">
        <v>129</v>
      </c>
      <c r="D45" s="163" t="s">
        <v>4006</v>
      </c>
      <c r="E45" s="212"/>
    </row>
    <row r="46" spans="3:5" ht="15" customHeight="1" x14ac:dyDescent="0.2">
      <c r="C46" s="165" t="s">
        <v>13</v>
      </c>
      <c r="D46" s="163" t="s">
        <v>4006</v>
      </c>
      <c r="E46" s="212"/>
    </row>
    <row r="47" spans="3:5" ht="15" customHeight="1" x14ac:dyDescent="0.2">
      <c r="C47" s="165" t="s">
        <v>130</v>
      </c>
      <c r="D47" s="163" t="s">
        <v>4006</v>
      </c>
      <c r="E47" s="212"/>
    </row>
    <row r="48" spans="3:5" ht="15" customHeight="1" x14ac:dyDescent="0.2">
      <c r="C48" s="165" t="s">
        <v>98</v>
      </c>
      <c r="D48" s="163" t="s">
        <v>4006</v>
      </c>
      <c r="E48" s="212"/>
    </row>
    <row r="49" spans="3:5" ht="15" customHeight="1" x14ac:dyDescent="0.2">
      <c r="C49" s="165" t="s">
        <v>131</v>
      </c>
      <c r="D49" s="163" t="s">
        <v>4006</v>
      </c>
      <c r="E49" s="212"/>
    </row>
    <row r="50" spans="3:5" ht="15" customHeight="1" x14ac:dyDescent="0.2">
      <c r="C50" s="165" t="s">
        <v>132</v>
      </c>
      <c r="D50" s="163" t="s">
        <v>4006</v>
      </c>
      <c r="E50" s="212"/>
    </row>
    <row r="51" spans="3:5" ht="15" customHeight="1" x14ac:dyDescent="0.2">
      <c r="C51" s="165" t="s">
        <v>133</v>
      </c>
      <c r="D51" s="163" t="s">
        <v>4006</v>
      </c>
      <c r="E51" s="212"/>
    </row>
    <row r="52" spans="3:5" ht="15" customHeight="1" x14ac:dyDescent="0.2">
      <c r="C52" s="165" t="s">
        <v>134</v>
      </c>
      <c r="D52" s="163" t="s">
        <v>4006</v>
      </c>
      <c r="E52" s="212"/>
    </row>
    <row r="53" spans="3:5" ht="15" customHeight="1" x14ac:dyDescent="0.2">
      <c r="C53" s="165" t="s">
        <v>135</v>
      </c>
      <c r="D53" s="163" t="s">
        <v>4006</v>
      </c>
      <c r="E53" s="212"/>
    </row>
    <row r="54" spans="3:5" ht="15" customHeight="1" x14ac:dyDescent="0.2">
      <c r="C54" s="165" t="s">
        <v>136</v>
      </c>
      <c r="D54" s="163" t="s">
        <v>4006</v>
      </c>
      <c r="E54" s="212"/>
    </row>
    <row r="55" spans="3:5" ht="15" customHeight="1" x14ac:dyDescent="0.2">
      <c r="C55" s="165" t="s">
        <v>137</v>
      </c>
      <c r="D55" s="163" t="s">
        <v>4006</v>
      </c>
      <c r="E55" s="212"/>
    </row>
    <row r="56" spans="3:5" ht="15" customHeight="1" x14ac:dyDescent="0.2">
      <c r="C56" s="165" t="s">
        <v>138</v>
      </c>
      <c r="D56" s="163" t="s">
        <v>4006</v>
      </c>
      <c r="E56" s="212"/>
    </row>
    <row r="57" spans="3:5" ht="15" customHeight="1" x14ac:dyDescent="0.2">
      <c r="C57" s="165" t="s">
        <v>139</v>
      </c>
      <c r="D57" s="163" t="s">
        <v>4006</v>
      </c>
      <c r="E57" s="212"/>
    </row>
    <row r="58" spans="3:5" ht="15" customHeight="1" x14ac:dyDescent="0.2">
      <c r="C58" s="165" t="s">
        <v>140</v>
      </c>
      <c r="D58" s="163" t="s">
        <v>4006</v>
      </c>
      <c r="E58" s="212"/>
    </row>
    <row r="59" spans="3:5" ht="15" customHeight="1" x14ac:dyDescent="0.2">
      <c r="C59" s="165" t="s">
        <v>141</v>
      </c>
      <c r="D59" s="163" t="s">
        <v>4006</v>
      </c>
      <c r="E59" s="212"/>
    </row>
    <row r="60" spans="3:5" ht="15" customHeight="1" x14ac:dyDescent="0.2">
      <c r="C60" s="165" t="s">
        <v>142</v>
      </c>
      <c r="D60" s="163" t="s">
        <v>4006</v>
      </c>
      <c r="E60" s="212"/>
    </row>
    <row r="61" spans="3:5" ht="15" customHeight="1" x14ac:dyDescent="0.2">
      <c r="C61" s="165" t="s">
        <v>143</v>
      </c>
      <c r="D61" s="163" t="s">
        <v>4006</v>
      </c>
      <c r="E61" s="212"/>
    </row>
    <row r="62" spans="3:5" ht="15" customHeight="1" x14ac:dyDescent="0.2">
      <c r="C62" s="165" t="s">
        <v>144</v>
      </c>
      <c r="D62" s="163" t="s">
        <v>4006</v>
      </c>
      <c r="E62" s="212"/>
    </row>
    <row r="63" spans="3:5" ht="15" customHeight="1" x14ac:dyDescent="0.2">
      <c r="C63" s="165" t="s">
        <v>145</v>
      </c>
      <c r="D63" s="163" t="s">
        <v>4006</v>
      </c>
      <c r="E63" s="212"/>
    </row>
    <row r="64" spans="3:5" ht="15" customHeight="1" x14ac:dyDescent="0.2">
      <c r="C64" s="165" t="s">
        <v>146</v>
      </c>
      <c r="D64" s="163" t="s">
        <v>4006</v>
      </c>
      <c r="E64" s="212"/>
    </row>
    <row r="65" spans="3:5" ht="15" customHeight="1" x14ac:dyDescent="0.2">
      <c r="C65" s="165" t="s">
        <v>147</v>
      </c>
      <c r="D65" s="163" t="s">
        <v>4006</v>
      </c>
      <c r="E65" s="212"/>
    </row>
    <row r="66" spans="3:5" ht="15" customHeight="1" x14ac:dyDescent="0.2">
      <c r="C66" s="165" t="s">
        <v>451</v>
      </c>
      <c r="D66" s="163" t="s">
        <v>4006</v>
      </c>
      <c r="E66" s="212"/>
    </row>
    <row r="67" spans="3:5" ht="15" customHeight="1" x14ac:dyDescent="0.2">
      <c r="C67" s="165" t="s">
        <v>452</v>
      </c>
      <c r="D67" s="163" t="s">
        <v>4006</v>
      </c>
      <c r="E67" s="212"/>
    </row>
    <row r="68" spans="3:5" ht="15" customHeight="1" x14ac:dyDescent="0.2">
      <c r="C68" s="165" t="s">
        <v>453</v>
      </c>
      <c r="D68" s="163" t="s">
        <v>4006</v>
      </c>
      <c r="E68" s="212"/>
    </row>
    <row r="69" spans="3:5" ht="15" customHeight="1" x14ac:dyDescent="0.2">
      <c r="C69" s="165" t="s">
        <v>454</v>
      </c>
      <c r="D69" s="163" t="s">
        <v>4006</v>
      </c>
      <c r="E69" s="212"/>
    </row>
    <row r="70" spans="3:5" ht="15" customHeight="1" x14ac:dyDescent="0.2">
      <c r="C70" s="165" t="s">
        <v>455</v>
      </c>
      <c r="D70" s="163" t="s">
        <v>4006</v>
      </c>
      <c r="E70" s="212"/>
    </row>
    <row r="71" spans="3:5" ht="15" customHeight="1" x14ac:dyDescent="0.2">
      <c r="C71" s="165" t="s">
        <v>456</v>
      </c>
      <c r="D71" s="163" t="s">
        <v>4006</v>
      </c>
      <c r="E71" s="212"/>
    </row>
    <row r="72" spans="3:5" ht="15" customHeight="1" x14ac:dyDescent="0.2">
      <c r="C72" s="165" t="s">
        <v>457</v>
      </c>
      <c r="D72" s="163" t="s">
        <v>4006</v>
      </c>
      <c r="E72" s="212"/>
    </row>
    <row r="73" spans="3:5" ht="15" customHeight="1" x14ac:dyDescent="0.2">
      <c r="C73" s="165" t="s">
        <v>458</v>
      </c>
      <c r="D73" s="163" t="s">
        <v>4006</v>
      </c>
      <c r="E73" s="212"/>
    </row>
    <row r="74" spans="3:5" ht="15" customHeight="1" x14ac:dyDescent="0.2">
      <c r="C74" s="165" t="s">
        <v>459</v>
      </c>
      <c r="D74" s="163" t="s">
        <v>4006</v>
      </c>
      <c r="E74" s="212"/>
    </row>
    <row r="75" spans="3:5" ht="15" customHeight="1" x14ac:dyDescent="0.2">
      <c r="C75" s="165" t="s">
        <v>460</v>
      </c>
      <c r="D75" s="163" t="s">
        <v>4006</v>
      </c>
      <c r="E75" s="212"/>
    </row>
    <row r="76" spans="3:5" ht="15" customHeight="1" x14ac:dyDescent="0.2">
      <c r="C76" s="165" t="s">
        <v>461</v>
      </c>
      <c r="D76" s="163" t="s">
        <v>4006</v>
      </c>
      <c r="E76" s="212"/>
    </row>
    <row r="77" spans="3:5" ht="15" customHeight="1" x14ac:dyDescent="0.2">
      <c r="C77" s="165" t="s">
        <v>462</v>
      </c>
      <c r="D77" s="163" t="s">
        <v>4006</v>
      </c>
      <c r="E77" s="212"/>
    </row>
    <row r="78" spans="3:5" ht="15" customHeight="1" x14ac:dyDescent="0.2">
      <c r="C78" s="165" t="s">
        <v>157</v>
      </c>
      <c r="D78" s="163" t="s">
        <v>4006</v>
      </c>
      <c r="E78" s="212"/>
    </row>
    <row r="79" spans="3:5" ht="15" customHeight="1" x14ac:dyDescent="0.2">
      <c r="C79" s="165" t="s">
        <v>158</v>
      </c>
      <c r="D79" s="163" t="s">
        <v>4006</v>
      </c>
      <c r="E79" s="212"/>
    </row>
    <row r="80" spans="3:5" ht="15" customHeight="1" x14ac:dyDescent="0.2">
      <c r="C80" s="165" t="s">
        <v>159</v>
      </c>
      <c r="D80" s="163" t="s">
        <v>4006</v>
      </c>
      <c r="E80" s="212"/>
    </row>
    <row r="81" spans="3:5" ht="15" customHeight="1" x14ac:dyDescent="0.2">
      <c r="C81" s="165" t="s">
        <v>14</v>
      </c>
      <c r="D81" s="163" t="s">
        <v>4006</v>
      </c>
      <c r="E81" s="212"/>
    </row>
    <row r="82" spans="3:5" ht="15" customHeight="1" x14ac:dyDescent="0.2">
      <c r="C82" s="165" t="s">
        <v>443</v>
      </c>
      <c r="D82" s="163" t="s">
        <v>4006</v>
      </c>
      <c r="E82" s="212"/>
    </row>
    <row r="83" spans="3:5" ht="15" customHeight="1" x14ac:dyDescent="0.2">
      <c r="C83" s="165" t="s">
        <v>46</v>
      </c>
      <c r="D83" s="163" t="s">
        <v>4006</v>
      </c>
      <c r="E83" s="212"/>
    </row>
    <row r="84" spans="3:5" ht="15" customHeight="1" x14ac:dyDescent="0.2">
      <c r="C84" s="165" t="s">
        <v>151</v>
      </c>
      <c r="D84" s="163" t="s">
        <v>4006</v>
      </c>
      <c r="E84" s="212"/>
    </row>
    <row r="85" spans="3:5" ht="15" customHeight="1" x14ac:dyDescent="0.2">
      <c r="C85" s="165" t="s">
        <v>152</v>
      </c>
      <c r="D85" s="163" t="s">
        <v>4006</v>
      </c>
      <c r="E85" s="212"/>
    </row>
    <row r="86" spans="3:5" ht="15" customHeight="1" x14ac:dyDescent="0.2">
      <c r="C86" s="165" t="s">
        <v>153</v>
      </c>
      <c r="D86" s="163" t="s">
        <v>4006</v>
      </c>
      <c r="E86" s="212"/>
    </row>
    <row r="87" spans="3:5" ht="15" customHeight="1" x14ac:dyDescent="0.2">
      <c r="C87" s="165" t="s">
        <v>154</v>
      </c>
      <c r="D87" s="163" t="s">
        <v>4006</v>
      </c>
      <c r="E87" s="212"/>
    </row>
    <row r="88" spans="3:5" ht="15" customHeight="1" x14ac:dyDescent="0.2">
      <c r="C88" s="165" t="s">
        <v>155</v>
      </c>
      <c r="D88" s="163" t="s">
        <v>4006</v>
      </c>
      <c r="E88" s="212"/>
    </row>
    <row r="89" spans="3:5" ht="15" customHeight="1" x14ac:dyDescent="0.2">
      <c r="C89" s="165" t="s">
        <v>156</v>
      </c>
      <c r="D89" s="163" t="s">
        <v>4006</v>
      </c>
      <c r="E89" s="212"/>
    </row>
    <row r="90" spans="3:5" ht="15" customHeight="1" x14ac:dyDescent="0.2">
      <c r="C90" s="165" t="s">
        <v>148</v>
      </c>
      <c r="D90" s="163" t="s">
        <v>4006</v>
      </c>
      <c r="E90" s="212"/>
    </row>
    <row r="91" spans="3:5" ht="15" customHeight="1" x14ac:dyDescent="0.2">
      <c r="C91" s="165" t="s">
        <v>149</v>
      </c>
      <c r="D91" s="163" t="s">
        <v>4006</v>
      </c>
      <c r="E91" s="212"/>
    </row>
    <row r="92" spans="3:5" ht="15" customHeight="1" x14ac:dyDescent="0.2">
      <c r="C92" s="165" t="s">
        <v>150</v>
      </c>
      <c r="D92" s="163" t="s">
        <v>4006</v>
      </c>
      <c r="E92" s="212"/>
    </row>
    <row r="93" spans="3:5" ht="15" customHeight="1" x14ac:dyDescent="0.2">
      <c r="C93" s="165" t="s">
        <v>445</v>
      </c>
      <c r="D93" s="163" t="s">
        <v>4006</v>
      </c>
      <c r="E93" s="212"/>
    </row>
    <row r="94" spans="3:5" ht="15" customHeight="1" x14ac:dyDescent="0.2">
      <c r="C94" s="165" t="s">
        <v>446</v>
      </c>
      <c r="D94" s="163" t="s">
        <v>4006</v>
      </c>
      <c r="E94" s="212"/>
    </row>
    <row r="95" spans="3:5" ht="15" customHeight="1" x14ac:dyDescent="0.2">
      <c r="C95" s="165" t="s">
        <v>91</v>
      </c>
      <c r="D95" s="163" t="s">
        <v>4006</v>
      </c>
      <c r="E95" s="212"/>
    </row>
    <row r="96" spans="3:5" ht="15" customHeight="1" x14ac:dyDescent="0.2">
      <c r="C96" s="165" t="s">
        <v>463</v>
      </c>
      <c r="D96" s="163" t="s">
        <v>4006</v>
      </c>
      <c r="E96" s="212"/>
    </row>
    <row r="97" spans="1:7" ht="15" customHeight="1" x14ac:dyDescent="0.2">
      <c r="C97" s="165" t="s">
        <v>447</v>
      </c>
      <c r="D97" s="163" t="s">
        <v>4006</v>
      </c>
      <c r="E97" s="212"/>
    </row>
    <row r="98" spans="1:7" ht="15" customHeight="1" x14ac:dyDescent="0.2">
      <c r="C98" s="165" t="s">
        <v>448</v>
      </c>
      <c r="D98" s="163" t="s">
        <v>4006</v>
      </c>
      <c r="E98" s="212"/>
    </row>
    <row r="99" spans="1:7" ht="15" customHeight="1" x14ac:dyDescent="0.2">
      <c r="C99" s="165" t="s">
        <v>449</v>
      </c>
      <c r="D99" s="163" t="s">
        <v>4006</v>
      </c>
      <c r="E99" s="212"/>
    </row>
    <row r="100" spans="1:7" ht="15" customHeight="1" x14ac:dyDescent="0.2">
      <c r="C100" s="165" t="s">
        <v>450</v>
      </c>
      <c r="D100" s="163" t="s">
        <v>4006</v>
      </c>
      <c r="E100" s="212"/>
    </row>
    <row r="101" spans="1:7" ht="15" customHeight="1" x14ac:dyDescent="0.2">
      <c r="C101" s="165" t="s">
        <v>464</v>
      </c>
      <c r="D101" s="163" t="s">
        <v>4006</v>
      </c>
      <c r="E101" s="212"/>
    </row>
    <row r="102" spans="1:7" ht="15" customHeight="1" x14ac:dyDescent="0.2">
      <c r="C102" s="165" t="s">
        <v>3999</v>
      </c>
      <c r="D102" s="163" t="s">
        <v>4006</v>
      </c>
      <c r="E102" s="212"/>
    </row>
    <row r="103" spans="1:7" ht="15" customHeight="1" x14ac:dyDescent="0.2">
      <c r="C103" s="165" t="s">
        <v>4000</v>
      </c>
      <c r="D103" s="163" t="s">
        <v>4006</v>
      </c>
      <c r="E103" s="212"/>
    </row>
    <row r="104" spans="1:7" ht="15" customHeight="1" x14ac:dyDescent="0.2">
      <c r="C104" s="165" t="s">
        <v>4001</v>
      </c>
      <c r="D104" s="163" t="s">
        <v>4006</v>
      </c>
      <c r="E104" s="212"/>
    </row>
    <row r="105" spans="1:7" ht="15" customHeight="1" x14ac:dyDescent="0.2">
      <c r="D105" s="155"/>
    </row>
    <row r="106" spans="1:7" x14ac:dyDescent="0.2"/>
    <row r="107" spans="1:7" x14ac:dyDescent="0.2">
      <c r="B107" s="155" t="s">
        <v>3998</v>
      </c>
    </row>
    <row r="108" spans="1:7" ht="4.1500000000000004" customHeight="1" x14ac:dyDescent="0.2"/>
    <row r="109" spans="1:7" x14ac:dyDescent="0.2">
      <c r="A109" s="213"/>
      <c r="B109" s="213"/>
      <c r="C109" s="213"/>
      <c r="D109" s="214"/>
      <c r="E109" s="213"/>
      <c r="F109" s="213"/>
      <c r="G109" s="213"/>
    </row>
    <row r="110" spans="1:7" ht="7.15" hidden="1" customHeight="1" x14ac:dyDescent="0.2"/>
    <row r="111" spans="1:7" hidden="1" x14ac:dyDescent="0.2"/>
    <row r="112" spans="1:7" hidden="1" x14ac:dyDescent="0.2"/>
  </sheetData>
  <sheetProtection password="CE6F" sheet="1" objects="1" scenarios="1"/>
  <mergeCells count="2">
    <mergeCell ref="G4:G5"/>
    <mergeCell ref="G10:G11"/>
  </mergeCells>
  <dataValidations count="1">
    <dataValidation type="list" allowBlank="1" showInputMessage="1" showErrorMessage="1" sqref="D4">
      <formula1>"+,-"</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DN102"/>
  <sheetViews>
    <sheetView showGridLines="0" tabSelected="1" topLeftCell="A62" zoomScale="90" zoomScaleNormal="90" workbookViewId="0">
      <selection activeCell="AI77" sqref="AI77"/>
    </sheetView>
  </sheetViews>
  <sheetFormatPr baseColWidth="10" defaultColWidth="0" defaultRowHeight="15" zeroHeight="1" x14ac:dyDescent="0.25"/>
  <cols>
    <col min="1" max="1" width="2.42578125" style="13" customWidth="1"/>
    <col min="2" max="5" width="3.7109375" style="13" customWidth="1"/>
    <col min="6" max="6" width="7.140625" style="38" bestFit="1" customWidth="1"/>
    <col min="7" max="7" width="6.7109375" style="14" customWidth="1"/>
    <col min="8" max="8" width="21.7109375" style="13" customWidth="1"/>
    <col min="9" max="13" width="3.7109375" style="13" customWidth="1"/>
    <col min="14" max="14" width="21.7109375" style="13" customWidth="1"/>
    <col min="15" max="28" width="3.7109375" style="13" customWidth="1"/>
    <col min="29" max="33" width="3.7109375" style="16" customWidth="1"/>
    <col min="34" max="34" width="3.7109375" style="65" customWidth="1"/>
    <col min="35" max="35" width="3.7109375" style="68" customWidth="1"/>
    <col min="36" max="36" width="3.7109375" style="78" customWidth="1"/>
    <col min="37" max="37" width="3.7109375" style="46" customWidth="1"/>
    <col min="38" max="38" width="3.7109375" style="13" customWidth="1"/>
    <col min="39" max="39" width="1.28515625" style="13" customWidth="1"/>
    <col min="40" max="42" width="3.7109375" style="13" customWidth="1"/>
    <col min="43" max="43" width="2.85546875" style="13" customWidth="1"/>
    <col min="44" max="45" width="3.7109375" style="13" customWidth="1"/>
    <col min="46" max="46" width="3" style="13" hidden="1" customWidth="1"/>
    <col min="47" max="107" width="9.140625" style="13" hidden="1" customWidth="1"/>
    <col min="108" max="111" width="9.140625" style="16" hidden="1" customWidth="1"/>
    <col min="112" max="16384" width="9.140625" style="13" hidden="1"/>
  </cols>
  <sheetData>
    <row r="1" spans="2:118" x14ac:dyDescent="0.25">
      <c r="K1" s="13" t="str">
        <f>INDEX(Language!$A$1:$AX$115,MATCH("Select text you want to highlight, delete to remove highlight",Language!$B$1:$B$112,0),MATCH($H$3,Language!$A$1:$AW$1,0))</f>
        <v>Wählen Sie Text, den Sie markieren möchten, löschen Sie den Höhepunkt zu entfernen</v>
      </c>
      <c r="AD1" s="17"/>
      <c r="AE1" s="17"/>
      <c r="AF1" s="17"/>
      <c r="AG1" s="17"/>
      <c r="AH1" s="64"/>
    </row>
    <row r="2" spans="2:118" x14ac:dyDescent="0.25">
      <c r="AD2" s="17"/>
      <c r="AE2" s="17"/>
      <c r="AF2" s="17"/>
      <c r="AG2" s="17"/>
      <c r="AH2" s="64"/>
    </row>
    <row r="3" spans="2:118" ht="15" customHeight="1" x14ac:dyDescent="0.25">
      <c r="B3" s="18"/>
      <c r="C3" s="234" t="str">
        <f>INDEX(Language!$A$1:$AX$115,MATCH("Language",Language!$B$1:$B$112,0),MATCH($H$3,Language!$A$1:$AW$1,0))</f>
        <v>Sprache</v>
      </c>
      <c r="D3" s="234"/>
      <c r="E3" s="234"/>
      <c r="F3" s="234"/>
      <c r="G3" s="39" t="s">
        <v>24</v>
      </c>
      <c r="H3" s="138" t="s">
        <v>342</v>
      </c>
      <c r="J3" s="234" t="str">
        <f>INDEX(Language!$A$1:$AX$115,MATCH("Group",Language!$B$1:$B$112,0),MATCH($H$3,Language!$A$1:$AW$1,0))</f>
        <v>Gruppe</v>
      </c>
      <c r="K3" s="234"/>
      <c r="L3" s="234"/>
      <c r="M3" s="15" t="s">
        <v>24</v>
      </c>
      <c r="N3" s="178" t="s">
        <v>22</v>
      </c>
      <c r="O3" s="168" t="s">
        <v>4128</v>
      </c>
      <c r="P3" s="234" t="str">
        <f>INDEX(Language!$A$1:$AX$115,MATCH("Venue",Language!$B$1:$B$112,0),MATCH($H$3,Language!$A$1:$AW$1,0))</f>
        <v>Tagungsort</v>
      </c>
      <c r="Q3" s="234"/>
      <c r="R3" s="13" t="s">
        <v>24</v>
      </c>
      <c r="S3" s="229" t="s">
        <v>432</v>
      </c>
      <c r="T3" s="229"/>
      <c r="U3" s="229"/>
      <c r="V3" s="229"/>
      <c r="W3" s="229"/>
      <c r="X3" s="229"/>
      <c r="Y3" s="229"/>
      <c r="Z3" s="229"/>
      <c r="AA3" s="229"/>
      <c r="AC3" s="231" t="str">
        <f>INDEX(Language!$A$1:$AX$115,MATCH("Visit exceltemplate.net for more templates and updates",Language!$B$1:$B$112,0),MATCH($H$3,Language!$A$1:$AW$1,0))</f>
        <v>Besuchen exceltemplate.net für weitere Vorlagen und Updates</v>
      </c>
      <c r="AD3" s="231"/>
      <c r="AE3" s="231"/>
      <c r="AF3" s="231"/>
      <c r="AG3" s="231"/>
      <c r="AH3" s="231"/>
      <c r="AI3" s="231"/>
      <c r="AJ3" s="231"/>
      <c r="AK3" s="231"/>
      <c r="AL3" s="231"/>
      <c r="AM3" s="231"/>
      <c r="AN3" s="231"/>
      <c r="AO3" s="231"/>
      <c r="AP3" s="231"/>
      <c r="AQ3" s="231"/>
      <c r="AR3" s="231"/>
    </row>
    <row r="4" spans="2:118" ht="8.25" customHeight="1" x14ac:dyDescent="0.25">
      <c r="E4" s="15"/>
      <c r="G4" s="39"/>
      <c r="O4" s="80"/>
      <c r="P4" s="44"/>
      <c r="Q4" s="44"/>
      <c r="R4" s="44"/>
      <c r="S4" s="44"/>
      <c r="T4" s="44"/>
      <c r="U4" s="44"/>
      <c r="V4" s="44"/>
      <c r="W4" s="63"/>
      <c r="AC4" s="231"/>
      <c r="AD4" s="231"/>
      <c r="AE4" s="231"/>
      <c r="AF4" s="231"/>
      <c r="AG4" s="231"/>
      <c r="AH4" s="231"/>
      <c r="AI4" s="231"/>
      <c r="AJ4" s="231"/>
      <c r="AK4" s="231"/>
      <c r="AL4" s="231"/>
      <c r="AM4" s="231"/>
      <c r="AN4" s="231"/>
      <c r="AO4" s="231"/>
      <c r="AP4" s="231"/>
      <c r="AQ4" s="231"/>
      <c r="AR4" s="231"/>
      <c r="DE4" s="17" t="s">
        <v>1</v>
      </c>
    </row>
    <row r="5" spans="2:118" ht="15" customHeight="1" x14ac:dyDescent="0.25">
      <c r="B5" s="18"/>
      <c r="C5" s="234" t="str">
        <f>INDEX(Language!$A$1:$AX$115,MATCH("Timezone",Language!$B$1:$B$112,0),MATCH($H$3,Language!$A$1:$AW$1,0))</f>
        <v>Zeitzone</v>
      </c>
      <c r="D5" s="234"/>
      <c r="E5" s="234"/>
      <c r="F5" s="234"/>
      <c r="G5" s="39" t="s">
        <v>24</v>
      </c>
      <c r="H5" s="138" t="s">
        <v>299</v>
      </c>
      <c r="J5" s="234" t="str">
        <f>INDEX(Language!$A$1:$AX$115,MATCH("Country",Language!$B$1:$B$112,0),MATCH($H$3,Language!$A$1:$AW$1,0))</f>
        <v>Land</v>
      </c>
      <c r="K5" s="234"/>
      <c r="L5" s="234"/>
      <c r="M5" s="39" t="s">
        <v>24</v>
      </c>
      <c r="N5" s="73" t="s">
        <v>106</v>
      </c>
      <c r="P5" s="44"/>
      <c r="Q5" s="44"/>
      <c r="R5" s="44"/>
      <c r="S5" s="44"/>
      <c r="T5" s="44"/>
      <c r="U5" s="44"/>
      <c r="V5" s="44"/>
      <c r="W5" s="63"/>
      <c r="AC5" s="231"/>
      <c r="AD5" s="231"/>
      <c r="AE5" s="231"/>
      <c r="AF5" s="231"/>
      <c r="AG5" s="231"/>
      <c r="AH5" s="231"/>
      <c r="AI5" s="231"/>
      <c r="AJ5" s="231"/>
      <c r="AK5" s="231"/>
      <c r="AL5" s="231"/>
      <c r="AM5" s="231"/>
      <c r="AN5" s="231"/>
      <c r="AO5" s="231"/>
      <c r="AP5" s="231"/>
      <c r="AQ5" s="231"/>
      <c r="AR5" s="231"/>
    </row>
    <row r="6" spans="2:118" x14ac:dyDescent="0.25">
      <c r="G6" s="15"/>
    </row>
    <row r="7" spans="2:118" s="20" customFormat="1" ht="25.5" customHeight="1" x14ac:dyDescent="0.25">
      <c r="B7" s="232" t="str">
        <f>INDEX(Language!$A$1:$AX$115,MATCH("Euro 2016 Schedule and Scoresheet",Language!$B$1:$B$112,0),MATCH($H$3,Language!$A$1:$AW$1,0))</f>
        <v>Euro 2016 Spielplan und Spielberichtsbogen</v>
      </c>
      <c r="C7" s="232"/>
      <c r="D7" s="232"/>
      <c r="E7" s="232"/>
      <c r="F7" s="232"/>
      <c r="G7" s="232"/>
      <c r="H7" s="232"/>
      <c r="I7" s="232"/>
      <c r="J7" s="232"/>
      <c r="K7" s="232"/>
      <c r="L7" s="232"/>
      <c r="M7" s="232"/>
      <c r="N7" s="232"/>
      <c r="O7" s="232"/>
      <c r="P7" s="232"/>
      <c r="Q7" s="232"/>
      <c r="R7" s="232"/>
      <c r="S7" s="232"/>
      <c r="T7" s="232"/>
      <c r="U7" s="232"/>
      <c r="V7" s="232"/>
      <c r="W7" s="232"/>
      <c r="X7" s="232"/>
      <c r="Y7" s="232"/>
      <c r="Z7" s="232"/>
      <c r="AA7" s="232"/>
      <c r="AB7" s="232"/>
      <c r="AC7" s="232"/>
      <c r="AD7" s="232"/>
      <c r="AE7" s="232"/>
      <c r="AF7" s="232"/>
      <c r="AG7" s="232"/>
      <c r="AH7" s="232"/>
      <c r="AI7" s="232"/>
      <c r="AJ7" s="232"/>
      <c r="AK7" s="232"/>
      <c r="AL7" s="232"/>
      <c r="AM7" s="232"/>
      <c r="AN7" s="232"/>
      <c r="AO7" s="232"/>
      <c r="AP7" s="232"/>
      <c r="AQ7" s="232"/>
      <c r="AR7" s="232"/>
      <c r="AS7" s="13"/>
      <c r="DD7" s="19"/>
      <c r="DE7" s="19"/>
      <c r="DF7" s="19"/>
      <c r="DG7" s="19"/>
    </row>
    <row r="8" spans="2:118" ht="18" customHeight="1" x14ac:dyDescent="0.25">
      <c r="B8" s="36"/>
      <c r="AG8" s="26"/>
      <c r="AH8" s="66"/>
      <c r="AI8" s="86"/>
      <c r="AN8" s="89"/>
      <c r="AO8" s="89"/>
      <c r="AP8" s="89"/>
      <c r="AR8" s="87"/>
    </row>
    <row r="9" spans="2:118" s="20" customFormat="1" ht="18" customHeight="1" x14ac:dyDescent="0.25">
      <c r="B9" s="21"/>
      <c r="C9" s="222" t="str">
        <f>INDEX(Language!$A$1:$AX$115,MATCH("Group Stages",Language!$B$1:$B$112,0),MATCH($H$3,Language!$A$1:$AW$1,0))</f>
        <v>Gruppenphase</v>
      </c>
      <c r="D9" s="223"/>
      <c r="E9" s="223"/>
      <c r="F9" s="223"/>
      <c r="G9" s="223"/>
      <c r="H9" s="223"/>
      <c r="I9" s="223"/>
      <c r="J9" s="223"/>
      <c r="K9" s="223"/>
      <c r="L9" s="223"/>
      <c r="M9" s="223"/>
      <c r="N9" s="223"/>
      <c r="O9" s="223"/>
      <c r="P9" s="223"/>
      <c r="Q9" s="223"/>
      <c r="R9" s="223"/>
      <c r="S9" s="223"/>
      <c r="T9" s="223"/>
      <c r="U9" s="223"/>
      <c r="V9" s="223"/>
      <c r="W9" s="223"/>
      <c r="X9" s="223"/>
      <c r="Y9" s="223"/>
      <c r="Z9" s="223"/>
      <c r="AA9" s="223"/>
      <c r="AB9" s="88"/>
      <c r="AC9" s="233" t="str">
        <f>INDEX(Language!$A$1:$AX$115,MATCH("Standings",Language!$B$1:$B$112,0),MATCH($H$3,Language!$A$1:$AW$1,0))</f>
        <v>Platzierungen</v>
      </c>
      <c r="AD9" s="233"/>
      <c r="AE9" s="233"/>
      <c r="AF9" s="233"/>
      <c r="AG9" s="233"/>
      <c r="AH9" s="233"/>
      <c r="AI9" s="233"/>
      <c r="AJ9" s="233"/>
      <c r="AK9" s="233"/>
      <c r="AL9" s="233"/>
      <c r="AM9" s="233"/>
      <c r="AN9" s="233"/>
      <c r="AO9" s="233"/>
      <c r="AP9" s="233"/>
      <c r="AQ9" s="233"/>
      <c r="AR9" s="24"/>
      <c r="AS9" s="13"/>
      <c r="DG9" s="19"/>
      <c r="DH9" s="19"/>
      <c r="DI9" s="19"/>
      <c r="DJ9" s="19"/>
    </row>
    <row r="10" spans="2:118" s="20" customFormat="1" ht="18" customHeight="1" x14ac:dyDescent="0.25">
      <c r="B10" s="21"/>
      <c r="C10" s="21"/>
      <c r="D10" s="22"/>
      <c r="E10" s="22"/>
      <c r="F10" s="40"/>
      <c r="G10" s="22"/>
      <c r="H10" s="22"/>
      <c r="I10" s="22"/>
      <c r="J10" s="22"/>
      <c r="K10" s="22"/>
      <c r="L10" s="22"/>
      <c r="M10" s="22"/>
      <c r="N10" s="22"/>
      <c r="O10" s="22"/>
      <c r="P10" s="22"/>
      <c r="Q10" s="22"/>
      <c r="R10" s="22"/>
      <c r="S10" s="22"/>
      <c r="T10" s="22"/>
      <c r="U10" s="22"/>
      <c r="V10" s="22"/>
      <c r="W10" s="22"/>
      <c r="X10" s="22"/>
      <c r="Y10" s="22"/>
      <c r="Z10" s="22"/>
      <c r="AA10" s="24"/>
      <c r="AB10" s="1"/>
      <c r="AC10" s="22"/>
      <c r="AD10" s="22"/>
      <c r="AE10" s="22"/>
      <c r="AF10" s="22"/>
      <c r="AG10" s="22"/>
      <c r="AH10" s="22"/>
      <c r="AI10" s="22"/>
      <c r="AJ10" s="22"/>
      <c r="AK10" s="22"/>
      <c r="AL10" s="22"/>
      <c r="AM10" s="22"/>
      <c r="AN10" s="22"/>
      <c r="AO10" s="22"/>
      <c r="AP10" s="31"/>
      <c r="AQ10" s="69"/>
      <c r="AR10" s="24"/>
      <c r="AS10" s="13"/>
      <c r="DK10" s="19"/>
      <c r="DL10" s="19"/>
      <c r="DM10" s="19"/>
      <c r="DN10" s="19"/>
    </row>
    <row r="11" spans="2:118" s="20" customFormat="1" ht="18" customHeight="1" x14ac:dyDescent="0.25">
      <c r="B11" s="21"/>
      <c r="C11" s="21"/>
      <c r="D11" s="37" t="str">
        <f>INDEX(Language!$A$1:$AX$115,MATCH("Match #",Language!$B$1:$B$112,0),MATCH($H$3,Language!$A$1:$AW$1,0))</f>
        <v>Spiel #</v>
      </c>
      <c r="E11" s="37" t="str">
        <f>INDEX(Language!$A$1:$AX$115,MATCH("Group",Language!$B$1:$B$112,0),MATCH($H$3,Language!$A$1:$AW$1,0))</f>
        <v>Gruppe</v>
      </c>
      <c r="F11" s="41" t="str">
        <f>INDEX(Language!$A$1:$AX$115,MATCH("Date",Language!$B$1:$B$112,0),MATCH($H$3,Language!$A$1:$AW$1,0))</f>
        <v>Datum</v>
      </c>
      <c r="G11" s="37" t="str">
        <f>INDEX(Language!$A$1:$AX$115,MATCH("Time",Language!$B$1:$B$112,0),MATCH($H$3,Language!$A$1:$AW$1,0))</f>
        <v>Zeit</v>
      </c>
      <c r="H11" s="84" t="str">
        <f>INDEX(Language!$A$1:$AX$115,MATCH("Country",Language!$B$1:$B$112,0),MATCH($H$3,Language!$A$1:$AW$1,0))</f>
        <v>Land</v>
      </c>
      <c r="I11" s="37"/>
      <c r="J11" s="230" t="str">
        <f>INDEX(Language!$A$1:$AX$115,MATCH("Score",Language!$B$1:$B$112,0),MATCH($H$3,Language!$A$1:$AW$1,0))</f>
        <v>Ergebnis</v>
      </c>
      <c r="K11" s="230"/>
      <c r="L11" s="230"/>
      <c r="M11" s="37"/>
      <c r="N11" s="85" t="str">
        <f>INDEX(Language!$A$1:$AX$115,MATCH("Country",Language!$B$1:$B$112,0),MATCH($H$3,Language!$A$1:$AW$1,0))</f>
        <v>Land</v>
      </c>
      <c r="O11" s="230"/>
      <c r="P11" s="230"/>
      <c r="Q11" s="230"/>
      <c r="R11" s="82" t="str">
        <f>INDEX(Language!$A$1:$AX$115,MATCH("Venue",Language!$B$1:$B$112,0),MATCH($H$3,Language!$A$1:$AW$1,0))</f>
        <v>Tagungsort</v>
      </c>
      <c r="S11" s="82"/>
      <c r="T11" s="82"/>
      <c r="U11" s="82"/>
      <c r="V11" s="82"/>
      <c r="W11" s="82"/>
      <c r="X11" s="82"/>
      <c r="Y11" s="82"/>
      <c r="Z11" s="82"/>
      <c r="AA11" s="83"/>
      <c r="AB11" s="1"/>
      <c r="AC11" s="244" t="str">
        <f>INDEX(Language!$A$1:$AX$115,MATCH("Group A",Language!$B$1:$B$112,0),MATCH($H$3,Language!$A$1:$AW$1,0))</f>
        <v>Gruppe A</v>
      </c>
      <c r="AD11" s="244"/>
      <c r="AE11" s="244"/>
      <c r="AF11" s="244"/>
      <c r="AG11" s="244"/>
      <c r="AH11" s="121" t="s">
        <v>0</v>
      </c>
      <c r="AI11" s="121" t="s">
        <v>19</v>
      </c>
      <c r="AJ11" s="121" t="s">
        <v>20</v>
      </c>
      <c r="AK11" s="121" t="s">
        <v>21</v>
      </c>
      <c r="AL11" s="121" t="s">
        <v>219</v>
      </c>
      <c r="AM11" s="121"/>
      <c r="AN11" s="121" t="s">
        <v>22</v>
      </c>
      <c r="AO11" s="142" t="s">
        <v>444</v>
      </c>
      <c r="AP11" s="121" t="s">
        <v>62</v>
      </c>
      <c r="AQ11" s="110"/>
      <c r="AR11" s="24"/>
      <c r="AS11" s="13"/>
      <c r="DK11" s="19"/>
      <c r="DL11" s="25"/>
      <c r="DM11" s="26"/>
      <c r="DN11" s="19"/>
    </row>
    <row r="12" spans="2:118" s="20" customFormat="1" ht="18" customHeight="1" x14ac:dyDescent="0.25">
      <c r="B12" s="21"/>
      <c r="C12" s="21"/>
      <c r="D12" s="22"/>
      <c r="E12" s="22"/>
      <c r="F12" s="40"/>
      <c r="G12" s="22"/>
      <c r="H12" s="22"/>
      <c r="I12" s="22"/>
      <c r="J12" s="22"/>
      <c r="K12" s="22"/>
      <c r="L12" s="22"/>
      <c r="M12" s="22"/>
      <c r="N12" s="22"/>
      <c r="O12" s="22"/>
      <c r="P12" s="22"/>
      <c r="Q12" s="22"/>
      <c r="R12" s="22"/>
      <c r="S12" s="22"/>
      <c r="T12" s="22"/>
      <c r="U12" s="22"/>
      <c r="V12" s="22"/>
      <c r="W12" s="22"/>
      <c r="X12" s="22"/>
      <c r="Y12" s="22"/>
      <c r="Z12" s="22"/>
      <c r="AA12" s="24"/>
      <c r="AB12" s="1"/>
      <c r="AC12" s="122"/>
      <c r="AD12" s="242" t="str">
        <f>VLOOKUP(1,'Dummy Table'!$A$4:$B$8,2,FALSE)</f>
        <v>Frankreich</v>
      </c>
      <c r="AE12" s="242"/>
      <c r="AF12" s="242"/>
      <c r="AG12" s="242"/>
      <c r="AH12" s="123">
        <f>SUM(AI12:AK12)</f>
        <v>3</v>
      </c>
      <c r="AI12" s="123">
        <f>VLOOKUP($AD12,'Dummy Table'!$B$4:$C$40,2,FALSE)</f>
        <v>2</v>
      </c>
      <c r="AJ12" s="123">
        <f>VLOOKUP($AD12,'Dummy Table'!$B$4:$D$40,3,FALSE)</f>
        <v>1</v>
      </c>
      <c r="AK12" s="123">
        <f>VLOOKUP($AD12,'Dummy Table'!$B$4:$E$40,4,FALSE)</f>
        <v>0</v>
      </c>
      <c r="AL12" s="123">
        <f>VLOOKUP($AD12,'Dummy Table'!$B$4:$F$40,5,FALSE)</f>
        <v>4</v>
      </c>
      <c r="AM12" s="141" t="s">
        <v>44</v>
      </c>
      <c r="AN12" s="123">
        <f>VLOOKUP($AD12,'Dummy Table'!$B$4:$G$40,6,FALSE)</f>
        <v>1</v>
      </c>
      <c r="AO12" s="123">
        <f>AL12-AN12</f>
        <v>3</v>
      </c>
      <c r="AP12" s="123">
        <f>AI12*3+AJ12*1</f>
        <v>7</v>
      </c>
      <c r="AQ12" s="110"/>
      <c r="AR12" s="24"/>
      <c r="AS12" s="13"/>
      <c r="DK12" s="19"/>
      <c r="DL12" s="25"/>
      <c r="DM12" s="26"/>
      <c r="DN12" s="19"/>
    </row>
    <row r="13" spans="2:118" s="20" customFormat="1" ht="18" customHeight="1" x14ac:dyDescent="0.25">
      <c r="B13" s="21"/>
      <c r="C13" s="21"/>
      <c r="D13" s="23">
        <v>1</v>
      </c>
      <c r="E13" s="23" t="s">
        <v>22</v>
      </c>
      <c r="F13" s="145">
        <f>G13</f>
        <v>42531.875</v>
      </c>
      <c r="G13" s="27">
        <f>'Countries and Timezone'!R2</f>
        <v>42531.875</v>
      </c>
      <c r="H13" s="28" t="str">
        <f>INDEX(Language!$A$1:$AW$115,MATCH('Countries and Timezone'!$AG$7,Language!$B$1:$B$112,0),MATCH($H$3,Language!$A$1:$AW$1,0))</f>
        <v>Frankreich</v>
      </c>
      <c r="I13" s="22"/>
      <c r="J13" s="29">
        <v>2</v>
      </c>
      <c r="K13" s="50" t="s">
        <v>44</v>
      </c>
      <c r="L13" s="29">
        <v>1</v>
      </c>
      <c r="M13" s="22"/>
      <c r="N13" s="22" t="str">
        <f>INDEX(Language!$A$1:$AW$115,MATCH('Countries and Timezone'!$AG$8,Language!$B$1:$B$112,0),MATCH($H$3,Language!$A$1:$AW$1,0))</f>
        <v>Rumänien</v>
      </c>
      <c r="O13" s="22"/>
      <c r="P13" s="22"/>
      <c r="Q13" s="22"/>
      <c r="R13" s="22" t="s">
        <v>432</v>
      </c>
      <c r="S13" s="22"/>
      <c r="T13" s="22"/>
      <c r="U13" s="22"/>
      <c r="V13" s="22"/>
      <c r="W13" s="22"/>
      <c r="X13" s="22"/>
      <c r="Y13" s="22"/>
      <c r="Z13" s="22"/>
      <c r="AA13" s="24"/>
      <c r="AB13" s="1"/>
      <c r="AC13" s="124"/>
      <c r="AD13" s="236" t="str">
        <f>VLOOKUP(2,'Dummy Table'!$A$4:$B$8,2,FALSE)</f>
        <v>Schweiz</v>
      </c>
      <c r="AE13" s="236"/>
      <c r="AF13" s="236"/>
      <c r="AG13" s="236"/>
      <c r="AH13" s="135">
        <f>SUM(AI13:AK13)</f>
        <v>3</v>
      </c>
      <c r="AI13" s="135">
        <f>VLOOKUP($AD13,'Dummy Table'!$B$4:$C$40,2,FALSE)</f>
        <v>1</v>
      </c>
      <c r="AJ13" s="135">
        <f>VLOOKUP($AD13,'Dummy Table'!$B$4:$D$40,3,FALSE)</f>
        <v>2</v>
      </c>
      <c r="AK13" s="135">
        <f>VLOOKUP($AD13,'Dummy Table'!$B$4:$E$40,4,FALSE)</f>
        <v>0</v>
      </c>
      <c r="AL13" s="135">
        <f>VLOOKUP($AD13,'Dummy Table'!$B$4:$F$40,5,FALSE)</f>
        <v>2</v>
      </c>
      <c r="AM13" s="135" t="s">
        <v>44</v>
      </c>
      <c r="AN13" s="135">
        <f>VLOOKUP($AD13,'Dummy Table'!$B$4:$G$40,6,FALSE)</f>
        <v>1</v>
      </c>
      <c r="AO13" s="135">
        <f>AL13-AN13</f>
        <v>1</v>
      </c>
      <c r="AP13" s="135">
        <f>AI13*3+AJ13*1</f>
        <v>5</v>
      </c>
      <c r="AQ13" s="110"/>
      <c r="AR13" s="24"/>
      <c r="AS13" s="13"/>
      <c r="DK13" s="19"/>
      <c r="DL13" s="25"/>
      <c r="DM13" s="26"/>
      <c r="DN13" s="19"/>
    </row>
    <row r="14" spans="2:118" s="20" customFormat="1" ht="18" customHeight="1" x14ac:dyDescent="0.25">
      <c r="B14" s="21"/>
      <c r="C14" s="21"/>
      <c r="D14" s="23">
        <v>2</v>
      </c>
      <c r="E14" s="23" t="s">
        <v>22</v>
      </c>
      <c r="F14" s="42">
        <f t="shared" ref="F14:F48" si="0">G14</f>
        <v>42532.625</v>
      </c>
      <c r="G14" s="27">
        <f>'Countries and Timezone'!R3</f>
        <v>42532.625</v>
      </c>
      <c r="H14" s="28" t="str">
        <f>INDEX(Language!$A$1:$AW$115,MATCH('Countries and Timezone'!$AG$9,Language!$B$1:$B$112,0),MATCH($H$3,Language!$A$1:$AW$1,0))</f>
        <v>Albanien</v>
      </c>
      <c r="I14" s="22"/>
      <c r="J14" s="29">
        <v>0</v>
      </c>
      <c r="K14" s="50" t="s">
        <v>44</v>
      </c>
      <c r="L14" s="29">
        <v>1</v>
      </c>
      <c r="M14" s="22"/>
      <c r="N14" s="22" t="str">
        <f>INDEX(Language!$A$1:$AW$115,MATCH('Countries and Timezone'!$AG$10,Language!$B$1:$B$112,0),MATCH($H$3,Language!$A$1:$AW$1,0))</f>
        <v>Schweiz</v>
      </c>
      <c r="O14" s="22"/>
      <c r="P14" s="22"/>
      <c r="Q14" s="22"/>
      <c r="R14" s="22" t="s">
        <v>433</v>
      </c>
      <c r="S14" s="22"/>
      <c r="T14" s="22"/>
      <c r="U14" s="22"/>
      <c r="V14" s="22"/>
      <c r="W14" s="22"/>
      <c r="X14" s="22"/>
      <c r="Y14" s="22"/>
      <c r="Z14" s="22"/>
      <c r="AA14" s="24"/>
      <c r="AB14" s="1"/>
      <c r="AC14" s="125"/>
      <c r="AD14" s="235" t="str">
        <f>VLOOKUP(3,'Dummy Table'!$A$4:$B$8,2,FALSE)</f>
        <v>Albanien</v>
      </c>
      <c r="AE14" s="235"/>
      <c r="AF14" s="235"/>
      <c r="AG14" s="235"/>
      <c r="AH14" s="126">
        <f>SUM(AI14:AK14)</f>
        <v>3</v>
      </c>
      <c r="AI14" s="126">
        <f>VLOOKUP($AD14,'Dummy Table'!$B$4:$C$40,2,FALSE)</f>
        <v>1</v>
      </c>
      <c r="AJ14" s="126">
        <f>VLOOKUP($AD14,'Dummy Table'!$B$4:$D$40,3,FALSE)</f>
        <v>0</v>
      </c>
      <c r="AK14" s="126">
        <f>VLOOKUP($AD14,'Dummy Table'!$B$4:$E$40,4,FALSE)</f>
        <v>2</v>
      </c>
      <c r="AL14" s="126">
        <f>VLOOKUP($AD14,'Dummy Table'!$B$4:$F$40,5,FALSE)</f>
        <v>1</v>
      </c>
      <c r="AM14" s="126" t="s">
        <v>44</v>
      </c>
      <c r="AN14" s="126">
        <f>VLOOKUP($AD14,'Dummy Table'!$B$4:$G$40,6,FALSE)</f>
        <v>3</v>
      </c>
      <c r="AO14" s="126">
        <f>AL14-AN14</f>
        <v>-2</v>
      </c>
      <c r="AP14" s="126">
        <f>AI14*3+AJ14*1</f>
        <v>3</v>
      </c>
      <c r="AQ14" s="110"/>
      <c r="AR14" s="24"/>
      <c r="AS14" s="13"/>
      <c r="DK14" s="19"/>
      <c r="DL14" s="25"/>
      <c r="DM14" s="26"/>
      <c r="DN14" s="19"/>
    </row>
    <row r="15" spans="2:118" s="20" customFormat="1" ht="18" customHeight="1" x14ac:dyDescent="0.25">
      <c r="B15" s="21"/>
      <c r="C15" s="21"/>
      <c r="D15" s="23">
        <v>3</v>
      </c>
      <c r="E15" s="23" t="s">
        <v>9</v>
      </c>
      <c r="F15" s="42">
        <f t="shared" si="0"/>
        <v>42532.75</v>
      </c>
      <c r="G15" s="27">
        <f>'Countries and Timezone'!R4</f>
        <v>42532.75</v>
      </c>
      <c r="H15" s="28" t="str">
        <f>INDEX(Language!$A$1:$AW$115,MATCH('Countries and Timezone'!$AG$13,Language!$B$1:$B$112,0),MATCH($H$3,Language!$A$1:$AW$1,0))</f>
        <v>Wales</v>
      </c>
      <c r="I15" s="22"/>
      <c r="J15" s="29">
        <v>2</v>
      </c>
      <c r="K15" s="50" t="s">
        <v>44</v>
      </c>
      <c r="L15" s="29">
        <v>1</v>
      </c>
      <c r="M15" s="22"/>
      <c r="N15" s="22" t="str">
        <f>INDEX(Language!$A$1:$AW$115,MATCH('Countries and Timezone'!$AG$14,Language!$B$1:$B$112,0),MATCH($H$3,Language!$A$1:$AW$1,0))</f>
        <v>Slowakei</v>
      </c>
      <c r="O15" s="22"/>
      <c r="P15" s="22"/>
      <c r="Q15" s="22"/>
      <c r="R15" s="22" t="s">
        <v>434</v>
      </c>
      <c r="S15" s="22"/>
      <c r="T15" s="22"/>
      <c r="U15" s="22"/>
      <c r="V15" s="22"/>
      <c r="W15" s="22"/>
      <c r="X15" s="22"/>
      <c r="Y15" s="22"/>
      <c r="Z15" s="22"/>
      <c r="AA15" s="24"/>
      <c r="AB15" s="1"/>
      <c r="AC15" s="62"/>
      <c r="AD15" s="241" t="str">
        <f>VLOOKUP(4,'Dummy Table'!$A$4:$B$8,2,FALSE)</f>
        <v>Rumänien</v>
      </c>
      <c r="AE15" s="241"/>
      <c r="AF15" s="241"/>
      <c r="AG15" s="241"/>
      <c r="AH15" s="23">
        <f>SUM(AI15:AK15)</f>
        <v>3</v>
      </c>
      <c r="AI15" s="23">
        <f>VLOOKUP($AD15,'Dummy Table'!$B$4:$C$40,2,FALSE)</f>
        <v>0</v>
      </c>
      <c r="AJ15" s="23">
        <f>VLOOKUP($AD15,'Dummy Table'!$B$4:$D$40,3,FALSE)</f>
        <v>1</v>
      </c>
      <c r="AK15" s="23">
        <f>VLOOKUP($AD15,'Dummy Table'!$B$4:$E$40,4,FALSE)</f>
        <v>2</v>
      </c>
      <c r="AL15" s="23">
        <f>VLOOKUP($AD15,'Dummy Table'!$B$4:$F$40,5,FALSE)</f>
        <v>2</v>
      </c>
      <c r="AM15" s="23" t="s">
        <v>44</v>
      </c>
      <c r="AN15" s="23">
        <f>VLOOKUP($AD15,'Dummy Table'!$B$4:$G$40,6,FALSE)</f>
        <v>4</v>
      </c>
      <c r="AO15" s="23">
        <f>AL15-AN15</f>
        <v>-2</v>
      </c>
      <c r="AP15" s="23">
        <f>AI15*3+AJ15*1</f>
        <v>1</v>
      </c>
      <c r="AQ15" s="110"/>
      <c r="AR15" s="24"/>
      <c r="AS15" s="13"/>
      <c r="DK15" s="19"/>
      <c r="DL15" s="25"/>
      <c r="DM15" s="26"/>
      <c r="DN15" s="19"/>
    </row>
    <row r="16" spans="2:118" s="20" customFormat="1" ht="18" customHeight="1" x14ac:dyDescent="0.25">
      <c r="B16" s="21"/>
      <c r="C16" s="21"/>
      <c r="D16" s="23">
        <v>4</v>
      </c>
      <c r="E16" s="23" t="s">
        <v>9</v>
      </c>
      <c r="F16" s="42">
        <f t="shared" si="0"/>
        <v>42532.875</v>
      </c>
      <c r="G16" s="27">
        <f>'Countries and Timezone'!R5</f>
        <v>42532.875</v>
      </c>
      <c r="H16" s="28" t="str">
        <f>INDEX(Language!$A$1:$AW$115,MATCH('Countries and Timezone'!$AG$11,Language!$B$1:$B$112,0),MATCH($H$3,Language!$A$1:$AW$1,0))</f>
        <v>England</v>
      </c>
      <c r="I16" s="22"/>
      <c r="J16" s="29">
        <v>1</v>
      </c>
      <c r="K16" s="50" t="s">
        <v>44</v>
      </c>
      <c r="L16" s="29">
        <v>1</v>
      </c>
      <c r="M16" s="22"/>
      <c r="N16" s="22" t="str">
        <f>INDEX(Language!$A$1:$AW$115,MATCH('Countries and Timezone'!$AG$12,Language!$B$1:$B$112,0),MATCH($H$3,Language!$A$1:$AW$1,0))</f>
        <v>Russland</v>
      </c>
      <c r="O16" s="22"/>
      <c r="P16" s="22"/>
      <c r="Q16" s="22"/>
      <c r="R16" s="22" t="s">
        <v>435</v>
      </c>
      <c r="S16" s="22"/>
      <c r="T16" s="22"/>
      <c r="U16" s="22"/>
      <c r="V16" s="22"/>
      <c r="W16" s="22"/>
      <c r="X16" s="22"/>
      <c r="Y16" s="22"/>
      <c r="Z16" s="22"/>
      <c r="AA16" s="24"/>
      <c r="AB16" s="1"/>
      <c r="AC16" s="243" t="str">
        <f>INDEX(Language!$A$1:$AX$115,MATCH("Group B",Language!$B$1:$B$112,0),MATCH($H$3,Language!$A$1:$AW$1,0))</f>
        <v>Gruppe B</v>
      </c>
      <c r="AD16" s="243"/>
      <c r="AE16" s="243"/>
      <c r="AF16" s="243"/>
      <c r="AG16" s="243"/>
      <c r="AH16" s="127" t="s">
        <v>0</v>
      </c>
      <c r="AI16" s="127" t="s">
        <v>19</v>
      </c>
      <c r="AJ16" s="127" t="s">
        <v>20</v>
      </c>
      <c r="AK16" s="127" t="s">
        <v>21</v>
      </c>
      <c r="AL16" s="127" t="s">
        <v>219</v>
      </c>
      <c r="AM16" s="127"/>
      <c r="AN16" s="127" t="s">
        <v>22</v>
      </c>
      <c r="AO16" s="127" t="s">
        <v>444</v>
      </c>
      <c r="AP16" s="127" t="s">
        <v>62</v>
      </c>
      <c r="AQ16" s="111"/>
      <c r="AR16" s="24"/>
      <c r="AS16" s="13"/>
      <c r="DK16" s="19"/>
      <c r="DL16" s="25"/>
      <c r="DM16" s="26"/>
      <c r="DN16" s="19"/>
    </row>
    <row r="17" spans="2:118" s="20" customFormat="1" ht="18" customHeight="1" x14ac:dyDescent="0.25">
      <c r="B17" s="21"/>
      <c r="C17" s="21"/>
      <c r="D17" s="23">
        <v>5</v>
      </c>
      <c r="E17" s="23" t="s">
        <v>20</v>
      </c>
      <c r="F17" s="42">
        <f t="shared" si="0"/>
        <v>42533.625</v>
      </c>
      <c r="G17" s="27">
        <f>'Countries and Timezone'!R6</f>
        <v>42533.625</v>
      </c>
      <c r="H17" s="28" t="str">
        <f>INDEX(Language!$A$1:$AW$115,MATCH('Countries and Timezone'!$AG$21,Language!$B$1:$B$112,0),MATCH($H$3,Language!$A$1:$AW$1,0))</f>
        <v>Truthahn</v>
      </c>
      <c r="I17" s="22"/>
      <c r="J17" s="29">
        <v>0</v>
      </c>
      <c r="K17" s="50" t="s">
        <v>44</v>
      </c>
      <c r="L17" s="29">
        <v>1</v>
      </c>
      <c r="M17" s="22"/>
      <c r="N17" s="22" t="str">
        <f>INDEX(Language!$A$1:$AW$115,MATCH('Countries and Timezone'!$AG$22,Language!$B$1:$B$112,0),MATCH($H$3,Language!$A$1:$AW$1,0))</f>
        <v>Kroatien</v>
      </c>
      <c r="O17" s="22"/>
      <c r="P17" s="22"/>
      <c r="Q17" s="22"/>
      <c r="R17" s="22" t="s">
        <v>436</v>
      </c>
      <c r="S17" s="22"/>
      <c r="T17" s="22"/>
      <c r="U17" s="22"/>
      <c r="V17" s="22"/>
      <c r="W17" s="22"/>
      <c r="X17" s="22"/>
      <c r="Y17" s="22"/>
      <c r="Z17" s="22"/>
      <c r="AA17" s="24"/>
      <c r="AB17" s="1"/>
      <c r="AC17" s="124"/>
      <c r="AD17" s="242" t="str">
        <f>VLOOKUP(1,'Dummy Table'!$A$11:$B$15,2,FALSE)</f>
        <v>Wales</v>
      </c>
      <c r="AE17" s="242"/>
      <c r="AF17" s="242"/>
      <c r="AG17" s="242"/>
      <c r="AH17" s="123">
        <f>SUM(AI17:AK17)</f>
        <v>3</v>
      </c>
      <c r="AI17" s="123">
        <f>VLOOKUP($AD17,'Dummy Table'!$B$4:$C$40,2,FALSE)</f>
        <v>2</v>
      </c>
      <c r="AJ17" s="123">
        <f>VLOOKUP($AD17,'Dummy Table'!$B$4:$D$40,3,FALSE)</f>
        <v>0</v>
      </c>
      <c r="AK17" s="123">
        <f>VLOOKUP($AD17,'Dummy Table'!$B$4:$E$40,4,FALSE)</f>
        <v>1</v>
      </c>
      <c r="AL17" s="123">
        <f>VLOOKUP($AD17,'Dummy Table'!$B$4:$F$40,5,FALSE)</f>
        <v>6</v>
      </c>
      <c r="AM17" s="123" t="s">
        <v>44</v>
      </c>
      <c r="AN17" s="123">
        <f>VLOOKUP($AD17,'Dummy Table'!$B$4:$G$40,6,FALSE)</f>
        <v>3</v>
      </c>
      <c r="AO17" s="123">
        <f>AL17-AN17</f>
        <v>3</v>
      </c>
      <c r="AP17" s="123">
        <f>AI17*3+AJ17*1</f>
        <v>6</v>
      </c>
      <c r="AQ17" s="111"/>
      <c r="AR17" s="24"/>
      <c r="AS17" s="13"/>
      <c r="DK17" s="19"/>
      <c r="DL17" s="25"/>
      <c r="DM17" s="26"/>
      <c r="DN17" s="19"/>
    </row>
    <row r="18" spans="2:118" s="20" customFormat="1" ht="18" customHeight="1" x14ac:dyDescent="0.25">
      <c r="B18" s="21"/>
      <c r="C18" s="21"/>
      <c r="D18" s="23">
        <v>6</v>
      </c>
      <c r="E18" s="23" t="s">
        <v>10</v>
      </c>
      <c r="F18" s="42">
        <f t="shared" si="0"/>
        <v>42533.75</v>
      </c>
      <c r="G18" s="27">
        <f>'Countries and Timezone'!R7</f>
        <v>42533.75</v>
      </c>
      <c r="H18" s="28" t="str">
        <f>INDEX(Language!$A$1:$AW$115,MATCH('Countries and Timezone'!$AG$17,Language!$B$1:$B$112,0),MATCH($H$3,Language!$A$1:$AW$1,0))</f>
        <v>Polen</v>
      </c>
      <c r="I18" s="22"/>
      <c r="J18" s="29">
        <v>1</v>
      </c>
      <c r="K18" s="50" t="s">
        <v>44</v>
      </c>
      <c r="L18" s="29">
        <v>0</v>
      </c>
      <c r="M18" s="22"/>
      <c r="N18" s="22" t="str">
        <f>INDEX(Language!$A$1:$AW$115,MATCH('Countries and Timezone'!$AG$18,Language!$B$1:$B$112,0),MATCH($H$3,Language!$A$1:$AW$1,0))</f>
        <v>Nordirland</v>
      </c>
      <c r="O18" s="22"/>
      <c r="P18" s="22"/>
      <c r="Q18" s="22"/>
      <c r="R18" s="22" t="s">
        <v>437</v>
      </c>
      <c r="S18" s="22"/>
      <c r="T18" s="22"/>
      <c r="U18" s="22"/>
      <c r="V18" s="22"/>
      <c r="W18" s="22"/>
      <c r="X18" s="22"/>
      <c r="Y18" s="22"/>
      <c r="Z18" s="22"/>
      <c r="AA18" s="24"/>
      <c r="AB18" s="1"/>
      <c r="AC18" s="124"/>
      <c r="AD18" s="236" t="str">
        <f>VLOOKUP(2,'Dummy Table'!$A$11:$B$15,2,FALSE)</f>
        <v>England</v>
      </c>
      <c r="AE18" s="236"/>
      <c r="AF18" s="236"/>
      <c r="AG18" s="236"/>
      <c r="AH18" s="135">
        <f>SUM(AI18:AK18)</f>
        <v>3</v>
      </c>
      <c r="AI18" s="135">
        <f>VLOOKUP($AD18,'Dummy Table'!$B$4:$C$40,2,FALSE)</f>
        <v>1</v>
      </c>
      <c r="AJ18" s="135">
        <f>VLOOKUP($AD18,'Dummy Table'!$B$4:$D$40,3,FALSE)</f>
        <v>2</v>
      </c>
      <c r="AK18" s="135">
        <f>VLOOKUP($AD18,'Dummy Table'!$B$4:$E$40,4,FALSE)</f>
        <v>0</v>
      </c>
      <c r="AL18" s="135">
        <f>VLOOKUP($AD18,'Dummy Table'!$B$4:$F$40,5,FALSE)</f>
        <v>3</v>
      </c>
      <c r="AM18" s="135" t="s">
        <v>44</v>
      </c>
      <c r="AN18" s="135">
        <f>VLOOKUP($AD18,'Dummy Table'!$B$4:$G$40,6,FALSE)</f>
        <v>2</v>
      </c>
      <c r="AO18" s="135">
        <f>AL18-AN18</f>
        <v>1</v>
      </c>
      <c r="AP18" s="135">
        <f>AI18*3+AJ18*1</f>
        <v>5</v>
      </c>
      <c r="AQ18" s="111"/>
      <c r="AR18" s="24"/>
      <c r="AS18" s="13"/>
      <c r="DK18" s="19"/>
      <c r="DL18" s="25"/>
      <c r="DM18" s="26"/>
      <c r="DN18" s="19"/>
    </row>
    <row r="19" spans="2:118" s="20" customFormat="1" ht="18" customHeight="1" x14ac:dyDescent="0.25">
      <c r="B19" s="21"/>
      <c r="C19" s="21"/>
      <c r="D19" s="23">
        <v>7</v>
      </c>
      <c r="E19" s="23" t="s">
        <v>10</v>
      </c>
      <c r="F19" s="42">
        <f t="shared" si="0"/>
        <v>42533.875</v>
      </c>
      <c r="G19" s="27">
        <f>'Countries and Timezone'!R8</f>
        <v>42533.875</v>
      </c>
      <c r="H19" s="28" t="str">
        <f>INDEX(Language!$A$1:$AW$115,MATCH('Countries and Timezone'!$AG$15,Language!$B$1:$B$112,0),MATCH($H$3,Language!$A$1:$AW$1,0))</f>
        <v>Deutschland</v>
      </c>
      <c r="I19" s="22"/>
      <c r="J19" s="29">
        <v>2</v>
      </c>
      <c r="K19" s="50" t="s">
        <v>44</v>
      </c>
      <c r="L19" s="29">
        <v>0</v>
      </c>
      <c r="M19" s="22"/>
      <c r="N19" s="22" t="str">
        <f>INDEX(Language!$A$1:$AW$115,MATCH('Countries and Timezone'!$AG$16,Language!$B$1:$B$112,0),MATCH($H$3,Language!$A$1:$AW$1,0))</f>
        <v>Ukraine</v>
      </c>
      <c r="O19" s="22"/>
      <c r="P19" s="22"/>
      <c r="Q19" s="22"/>
      <c r="R19" s="22" t="s">
        <v>438</v>
      </c>
      <c r="S19" s="22"/>
      <c r="T19" s="22"/>
      <c r="U19" s="22"/>
      <c r="V19" s="22"/>
      <c r="W19" s="22"/>
      <c r="X19" s="22"/>
      <c r="Y19" s="22"/>
      <c r="Z19" s="22"/>
      <c r="AA19" s="24"/>
      <c r="AB19" s="1"/>
      <c r="AC19" s="125"/>
      <c r="AD19" s="235" t="str">
        <f>VLOOKUP(3,'Dummy Table'!$A$11:$B$15,2,FALSE)</f>
        <v>Slowakei</v>
      </c>
      <c r="AE19" s="235"/>
      <c r="AF19" s="235"/>
      <c r="AG19" s="235"/>
      <c r="AH19" s="126">
        <f>SUM(AI19:AK19)</f>
        <v>3</v>
      </c>
      <c r="AI19" s="126">
        <f>VLOOKUP($AD19,'Dummy Table'!$B$4:$C$40,2,FALSE)</f>
        <v>1</v>
      </c>
      <c r="AJ19" s="126">
        <f>VLOOKUP($AD19,'Dummy Table'!$B$4:$D$40,3,FALSE)</f>
        <v>1</v>
      </c>
      <c r="AK19" s="126">
        <f>VLOOKUP($AD19,'Dummy Table'!$B$4:$E$40,4,FALSE)</f>
        <v>1</v>
      </c>
      <c r="AL19" s="126">
        <f>VLOOKUP($AD19,'Dummy Table'!$B$4:$F$40,5,FALSE)</f>
        <v>3</v>
      </c>
      <c r="AM19" s="126" t="s">
        <v>44</v>
      </c>
      <c r="AN19" s="126">
        <f>VLOOKUP($AD19,'Dummy Table'!$B$4:$G$40,6,FALSE)</f>
        <v>3</v>
      </c>
      <c r="AO19" s="126">
        <f>AL19-AN19</f>
        <v>0</v>
      </c>
      <c r="AP19" s="126">
        <f>AI19*3+AJ19*1</f>
        <v>4</v>
      </c>
      <c r="AQ19" s="111"/>
      <c r="AR19" s="24"/>
      <c r="AS19" s="13"/>
      <c r="DK19" s="19"/>
      <c r="DL19" s="30"/>
      <c r="DM19" s="26"/>
      <c r="DN19" s="19"/>
    </row>
    <row r="20" spans="2:118" s="20" customFormat="1" ht="18" customHeight="1" x14ac:dyDescent="0.25">
      <c r="B20" s="21"/>
      <c r="C20" s="21"/>
      <c r="D20" s="23">
        <v>8</v>
      </c>
      <c r="E20" s="23" t="s">
        <v>20</v>
      </c>
      <c r="F20" s="42">
        <f t="shared" si="0"/>
        <v>42534.625</v>
      </c>
      <c r="G20" s="27">
        <f>'Countries and Timezone'!R9</f>
        <v>42534.625</v>
      </c>
      <c r="H20" s="28" t="str">
        <f>INDEX(Language!$A$1:$AW$115,MATCH('Countries and Timezone'!$AG$19,Language!$B$1:$B$112,0),MATCH($H$3,Language!$A$1:$AW$1,0))</f>
        <v>Spanien</v>
      </c>
      <c r="I20" s="22"/>
      <c r="J20" s="29">
        <v>1</v>
      </c>
      <c r="K20" s="50" t="s">
        <v>44</v>
      </c>
      <c r="L20" s="29">
        <v>0</v>
      </c>
      <c r="M20" s="22"/>
      <c r="N20" s="22" t="str">
        <f>INDEX(Language!$A$1:$AW$115,MATCH('Countries and Timezone'!$AG$20,Language!$B$1:$B$112,0),MATCH($H$3,Language!$A$1:$AW$1,0))</f>
        <v>Tschechien</v>
      </c>
      <c r="O20" s="22"/>
      <c r="P20" s="22"/>
      <c r="Q20" s="22"/>
      <c r="R20" s="22" t="s">
        <v>439</v>
      </c>
      <c r="S20" s="22"/>
      <c r="T20" s="22"/>
      <c r="U20" s="22"/>
      <c r="V20" s="22"/>
      <c r="W20" s="22"/>
      <c r="X20" s="22"/>
      <c r="Y20" s="22"/>
      <c r="Z20" s="22"/>
      <c r="AA20" s="24"/>
      <c r="AB20" s="1"/>
      <c r="AC20" s="62"/>
      <c r="AD20" s="241" t="str">
        <f>VLOOKUP(4,'Dummy Table'!$A$11:$B$15,2,FALSE)</f>
        <v>Russland</v>
      </c>
      <c r="AE20" s="241"/>
      <c r="AF20" s="241"/>
      <c r="AG20" s="241"/>
      <c r="AH20" s="23">
        <f>SUM(AI20:AK20)</f>
        <v>3</v>
      </c>
      <c r="AI20" s="23">
        <f>VLOOKUP($AD20,'Dummy Table'!$B$4:$C$40,2,FALSE)</f>
        <v>0</v>
      </c>
      <c r="AJ20" s="23">
        <f>VLOOKUP($AD20,'Dummy Table'!$B$4:$D$40,3,FALSE)</f>
        <v>1</v>
      </c>
      <c r="AK20" s="23">
        <f>VLOOKUP($AD20,'Dummy Table'!$B$4:$E$40,4,FALSE)</f>
        <v>2</v>
      </c>
      <c r="AL20" s="23">
        <f>VLOOKUP($AD20,'Dummy Table'!$B$4:$F$40,5,FALSE)</f>
        <v>2</v>
      </c>
      <c r="AM20" s="23" t="s">
        <v>44</v>
      </c>
      <c r="AN20" s="23">
        <f>VLOOKUP($AD20,'Dummy Table'!$B$4:$G$40,6,FALSE)</f>
        <v>6</v>
      </c>
      <c r="AO20" s="23">
        <f>AL20-AN20</f>
        <v>-4</v>
      </c>
      <c r="AP20" s="23">
        <f>AI20*3+AJ20*1</f>
        <v>1</v>
      </c>
      <c r="AQ20" s="111"/>
      <c r="AR20" s="24"/>
      <c r="AS20" s="13"/>
      <c r="DK20" s="19"/>
      <c r="DL20" s="25"/>
      <c r="DM20" s="26"/>
      <c r="DN20" s="19"/>
    </row>
    <row r="21" spans="2:118" s="20" customFormat="1" ht="18" customHeight="1" x14ac:dyDescent="0.25">
      <c r="B21" s="21"/>
      <c r="C21" s="21"/>
      <c r="D21" s="23">
        <v>9</v>
      </c>
      <c r="E21" s="23" t="s">
        <v>211</v>
      </c>
      <c r="F21" s="42">
        <f t="shared" si="0"/>
        <v>42534.75</v>
      </c>
      <c r="G21" s="27">
        <f>'Countries and Timezone'!R10</f>
        <v>42534.75</v>
      </c>
      <c r="H21" s="28" t="str">
        <f>INDEX(Language!$A$1:$AW$115,MATCH('Countries and Timezone'!$AG$25,Language!$B$1:$B$112,0),MATCH($H$3,Language!$A$1:$AW$1,0))</f>
        <v>Irische Republik</v>
      </c>
      <c r="I21" s="22"/>
      <c r="J21" s="29">
        <v>1</v>
      </c>
      <c r="K21" s="50" t="s">
        <v>44</v>
      </c>
      <c r="L21" s="29">
        <v>1</v>
      </c>
      <c r="M21" s="22"/>
      <c r="N21" s="22" t="str">
        <f>INDEX(Language!$A$1:$AW$115,MATCH('Countries and Timezone'!$AG$26,Language!$B$1:$B$112,0),MATCH($H$3,Language!$A$1:$AW$1,0))</f>
        <v>Schweden</v>
      </c>
      <c r="O21" s="22"/>
      <c r="P21" s="22"/>
      <c r="Q21" s="22"/>
      <c r="R21" s="22" t="s">
        <v>432</v>
      </c>
      <c r="S21" s="22"/>
      <c r="T21" s="22"/>
      <c r="U21" s="22"/>
      <c r="V21" s="22"/>
      <c r="W21" s="22"/>
      <c r="X21" s="22"/>
      <c r="Y21" s="22"/>
      <c r="Z21" s="22"/>
      <c r="AA21" s="24"/>
      <c r="AB21" s="81"/>
      <c r="AC21" s="240" t="str">
        <f>INDEX(Language!$A$1:$AX$115,MATCH("Group C",Language!$B$1:$B$112,0),MATCH($H$3,Language!$A$1:$AW$1,0))</f>
        <v>Gruppe C</v>
      </c>
      <c r="AD21" s="240"/>
      <c r="AE21" s="240"/>
      <c r="AF21" s="240"/>
      <c r="AG21" s="240"/>
      <c r="AH21" s="128" t="s">
        <v>0</v>
      </c>
      <c r="AI21" s="128" t="s">
        <v>19</v>
      </c>
      <c r="AJ21" s="128" t="s">
        <v>20</v>
      </c>
      <c r="AK21" s="128" t="s">
        <v>21</v>
      </c>
      <c r="AL21" s="128" t="s">
        <v>219</v>
      </c>
      <c r="AM21" s="128"/>
      <c r="AN21" s="128" t="s">
        <v>22</v>
      </c>
      <c r="AO21" s="128" t="s">
        <v>444</v>
      </c>
      <c r="AP21" s="128" t="s">
        <v>62</v>
      </c>
      <c r="AQ21" s="112"/>
      <c r="AR21" s="24"/>
      <c r="AS21" s="13"/>
      <c r="DK21" s="19"/>
      <c r="DL21" s="25"/>
      <c r="DM21" s="26"/>
      <c r="DN21" s="19"/>
    </row>
    <row r="22" spans="2:118" s="20" customFormat="1" ht="18" customHeight="1" x14ac:dyDescent="0.25">
      <c r="B22" s="21"/>
      <c r="C22" s="21"/>
      <c r="D22" s="23">
        <v>10</v>
      </c>
      <c r="E22" s="23" t="s">
        <v>211</v>
      </c>
      <c r="F22" s="42">
        <f t="shared" si="0"/>
        <v>42534.875</v>
      </c>
      <c r="G22" s="27">
        <f>'Countries and Timezone'!R11</f>
        <v>42534.875</v>
      </c>
      <c r="H22" s="28" t="str">
        <f>INDEX(Language!$A$1:$AW$115,MATCH('Countries and Timezone'!$AG$23,Language!$B$1:$B$112,0),MATCH($H$3,Language!$A$1:$AW$1,0))</f>
        <v>Belgien</v>
      </c>
      <c r="I22" s="22"/>
      <c r="J22" s="29">
        <v>0</v>
      </c>
      <c r="K22" s="50" t="s">
        <v>44</v>
      </c>
      <c r="L22" s="29">
        <v>2</v>
      </c>
      <c r="M22" s="22"/>
      <c r="N22" s="22" t="str">
        <f>INDEX(Language!$A$1:$AW$115,MATCH('Countries and Timezone'!$AG$24,Language!$B$1:$B$112,0),MATCH($H$3,Language!$A$1:$AW$1,0))</f>
        <v>Italien</v>
      </c>
      <c r="O22" s="22"/>
      <c r="P22" s="22"/>
      <c r="Q22" s="22"/>
      <c r="R22" s="22" t="s">
        <v>440</v>
      </c>
      <c r="S22" s="22"/>
      <c r="T22" s="22"/>
      <c r="U22" s="22"/>
      <c r="V22" s="22"/>
      <c r="W22" s="22"/>
      <c r="X22" s="22"/>
      <c r="Y22" s="22"/>
      <c r="Z22" s="22"/>
      <c r="AA22" s="24"/>
      <c r="AB22" s="1"/>
      <c r="AC22" s="124"/>
      <c r="AD22" s="242" t="str">
        <f>VLOOKUP(1,'Dummy Table'!$A$18:$B$22,2,FALSE)</f>
        <v>Deutschland</v>
      </c>
      <c r="AE22" s="242"/>
      <c r="AF22" s="242"/>
      <c r="AG22" s="242"/>
      <c r="AH22" s="123">
        <f>SUM(AI22:AK22)</f>
        <v>3</v>
      </c>
      <c r="AI22" s="123">
        <f>VLOOKUP($AD22,'Dummy Table'!$B$4:$C$40,2,FALSE)</f>
        <v>2</v>
      </c>
      <c r="AJ22" s="123">
        <f>VLOOKUP($AD22,'Dummy Table'!$B$4:$D$40,3,FALSE)</f>
        <v>1</v>
      </c>
      <c r="AK22" s="123">
        <f>VLOOKUP($AD22,'Dummy Table'!$B$4:$E$40,4,FALSE)</f>
        <v>0</v>
      </c>
      <c r="AL22" s="123">
        <f>VLOOKUP($AD22,'Dummy Table'!$B$4:$F$40,5,FALSE)</f>
        <v>3</v>
      </c>
      <c r="AM22" s="123" t="s">
        <v>44</v>
      </c>
      <c r="AN22" s="123">
        <f>VLOOKUP($AD22,'Dummy Table'!$B$4:$G$40,6,FALSE)</f>
        <v>0</v>
      </c>
      <c r="AO22" s="123">
        <f>AL22-AN22</f>
        <v>3</v>
      </c>
      <c r="AP22" s="123">
        <f>AI22*3+AJ22*1</f>
        <v>7</v>
      </c>
      <c r="AQ22" s="112"/>
      <c r="AR22" s="24"/>
      <c r="AS22" s="13"/>
      <c r="DK22" s="19"/>
      <c r="DL22" s="25"/>
      <c r="DM22" s="26"/>
      <c r="DN22" s="19"/>
    </row>
    <row r="23" spans="2:118" s="20" customFormat="1" ht="18" customHeight="1" x14ac:dyDescent="0.25">
      <c r="B23" s="21"/>
      <c r="C23" s="21"/>
      <c r="D23" s="23">
        <v>11</v>
      </c>
      <c r="E23" s="23" t="s">
        <v>219</v>
      </c>
      <c r="F23" s="42">
        <f t="shared" si="0"/>
        <v>42535.75</v>
      </c>
      <c r="G23" s="27">
        <f>'Countries and Timezone'!R12</f>
        <v>42535.75</v>
      </c>
      <c r="H23" s="28" t="str">
        <f>INDEX(Language!$A$1:$AW$115,MATCH('Countries and Timezone'!$AG$29,Language!$B$1:$B$112,0),MATCH($H$3,Language!$A$1:$AW$1,0))</f>
        <v>Österreich</v>
      </c>
      <c r="I23" s="22"/>
      <c r="J23" s="29">
        <v>0</v>
      </c>
      <c r="K23" s="50" t="s">
        <v>44</v>
      </c>
      <c r="L23" s="29">
        <v>2</v>
      </c>
      <c r="M23" s="22"/>
      <c r="N23" s="22" t="str">
        <f>INDEX(Language!$A$1:$AW$115,MATCH('Countries and Timezone'!$AG$30,Language!$B$1:$B$112,0),MATCH($H$3,Language!$A$1:$AW$1,0))</f>
        <v>Ungarn</v>
      </c>
      <c r="O23" s="22"/>
      <c r="P23" s="22"/>
      <c r="Q23" s="22"/>
      <c r="R23" s="22" t="s">
        <v>434</v>
      </c>
      <c r="S23" s="22"/>
      <c r="T23" s="22"/>
      <c r="U23" s="22"/>
      <c r="V23" s="22"/>
      <c r="W23" s="22"/>
      <c r="X23" s="22"/>
      <c r="Y23" s="22"/>
      <c r="Z23" s="22"/>
      <c r="AA23" s="24"/>
      <c r="AB23" s="1"/>
      <c r="AC23" s="124"/>
      <c r="AD23" s="236" t="str">
        <f>VLOOKUP(2,'Dummy Table'!$A$18:$B$22,2,FALSE)</f>
        <v>Polen</v>
      </c>
      <c r="AE23" s="236"/>
      <c r="AF23" s="236"/>
      <c r="AG23" s="236"/>
      <c r="AH23" s="135">
        <f>SUM(AI23:AK23)</f>
        <v>3</v>
      </c>
      <c r="AI23" s="135">
        <f>VLOOKUP($AD23,'Dummy Table'!$B$4:$C$40,2,FALSE)</f>
        <v>2</v>
      </c>
      <c r="AJ23" s="135">
        <f>VLOOKUP($AD23,'Dummy Table'!$B$4:$D$40,3,FALSE)</f>
        <v>1</v>
      </c>
      <c r="AK23" s="135">
        <f>VLOOKUP($AD23,'Dummy Table'!$B$4:$E$40,4,FALSE)</f>
        <v>0</v>
      </c>
      <c r="AL23" s="135">
        <f>VLOOKUP($AD23,'Dummy Table'!$B$4:$F$40,5,FALSE)</f>
        <v>2</v>
      </c>
      <c r="AM23" s="135" t="s">
        <v>44</v>
      </c>
      <c r="AN23" s="135">
        <f>VLOOKUP($AD23,'Dummy Table'!$B$4:$G$40,6,FALSE)</f>
        <v>0</v>
      </c>
      <c r="AO23" s="135">
        <f>AL23-AN23</f>
        <v>2</v>
      </c>
      <c r="AP23" s="135">
        <f>AI23*3+AJ23*1</f>
        <v>7</v>
      </c>
      <c r="AQ23" s="112"/>
      <c r="AR23" s="24"/>
      <c r="AS23" s="13"/>
      <c r="DK23" s="19"/>
      <c r="DL23" s="25"/>
      <c r="DM23" s="26"/>
      <c r="DN23" s="19"/>
    </row>
    <row r="24" spans="2:118" s="20" customFormat="1" ht="18" customHeight="1" x14ac:dyDescent="0.25">
      <c r="B24" s="21"/>
      <c r="C24" s="21"/>
      <c r="D24" s="23">
        <v>12</v>
      </c>
      <c r="E24" s="23" t="s">
        <v>219</v>
      </c>
      <c r="F24" s="42">
        <f t="shared" si="0"/>
        <v>42535.875</v>
      </c>
      <c r="G24" s="27">
        <f>'Countries and Timezone'!R13</f>
        <v>42535.875</v>
      </c>
      <c r="H24" s="28" t="str">
        <f>INDEX(Language!$A$1:$AW$115,MATCH('Countries and Timezone'!$AG$27,Language!$B$1:$B$112,0),MATCH($H$3,Language!$A$1:$AW$1,0))</f>
        <v>Portugal</v>
      </c>
      <c r="I24" s="22"/>
      <c r="J24" s="29">
        <v>1</v>
      </c>
      <c r="K24" s="50" t="s">
        <v>44</v>
      </c>
      <c r="L24" s="29">
        <v>1</v>
      </c>
      <c r="M24" s="22"/>
      <c r="N24" s="22" t="str">
        <f>INDEX(Language!$A$1:$AW$115,MATCH('Countries and Timezone'!$AG$28,Language!$B$1:$B$112,0),MATCH($H$3,Language!$A$1:$AW$1,0))</f>
        <v>Island</v>
      </c>
      <c r="O24" s="22"/>
      <c r="P24" s="22"/>
      <c r="Q24" s="22"/>
      <c r="R24" s="22" t="s">
        <v>441</v>
      </c>
      <c r="S24" s="22"/>
      <c r="T24" s="22"/>
      <c r="U24" s="22"/>
      <c r="V24" s="22"/>
      <c r="W24" s="22"/>
      <c r="X24" s="22"/>
      <c r="Y24" s="22"/>
      <c r="Z24" s="22"/>
      <c r="AA24" s="24"/>
      <c r="AB24" s="1"/>
      <c r="AC24" s="125"/>
      <c r="AD24" s="235" t="str">
        <f>VLOOKUP(3,'Dummy Table'!$A$18:$B$22,2,FALSE)</f>
        <v>Nordirland</v>
      </c>
      <c r="AE24" s="235"/>
      <c r="AF24" s="235"/>
      <c r="AG24" s="235"/>
      <c r="AH24" s="126">
        <f>SUM(AI24:AK24)</f>
        <v>3</v>
      </c>
      <c r="AI24" s="126">
        <f>VLOOKUP($AD24,'Dummy Table'!$B$4:$C$40,2,FALSE)</f>
        <v>1</v>
      </c>
      <c r="AJ24" s="126">
        <f>VLOOKUP($AD24,'Dummy Table'!$B$4:$D$40,3,FALSE)</f>
        <v>0</v>
      </c>
      <c r="AK24" s="126">
        <f>VLOOKUP($AD24,'Dummy Table'!$B$4:$E$40,4,FALSE)</f>
        <v>2</v>
      </c>
      <c r="AL24" s="126">
        <f>VLOOKUP($AD24,'Dummy Table'!$B$4:$F$40,5,FALSE)</f>
        <v>2</v>
      </c>
      <c r="AM24" s="126" t="s">
        <v>44</v>
      </c>
      <c r="AN24" s="126">
        <f>VLOOKUP($AD24,'Dummy Table'!$B$4:$G$40,6,FALSE)</f>
        <v>2</v>
      </c>
      <c r="AO24" s="126">
        <f>AL24-AN24</f>
        <v>0</v>
      </c>
      <c r="AP24" s="126">
        <f>AI24*3+AJ24*1</f>
        <v>3</v>
      </c>
      <c r="AQ24" s="112"/>
      <c r="AR24" s="24"/>
      <c r="AS24" s="13"/>
      <c r="DK24" s="19"/>
      <c r="DL24" s="25"/>
      <c r="DM24" s="26"/>
      <c r="DN24" s="19"/>
    </row>
    <row r="25" spans="2:118" s="20" customFormat="1" ht="18" customHeight="1" x14ac:dyDescent="0.25">
      <c r="B25" s="21"/>
      <c r="C25" s="21"/>
      <c r="D25" s="23">
        <v>13</v>
      </c>
      <c r="E25" s="23" t="s">
        <v>9</v>
      </c>
      <c r="F25" s="42">
        <f t="shared" si="0"/>
        <v>42536.625</v>
      </c>
      <c r="G25" s="27">
        <f>'Countries and Timezone'!R14</f>
        <v>42536.625</v>
      </c>
      <c r="H25" s="28" t="str">
        <f>INDEX(Language!$A$1:$AW$115,MATCH('Countries and Timezone'!$AG$12,Language!$B$1:$B$112,0),MATCH($H$3,Language!$A$1:$AW$1,0))</f>
        <v>Russland</v>
      </c>
      <c r="I25" s="22"/>
      <c r="J25" s="29">
        <v>1</v>
      </c>
      <c r="K25" s="50" t="s">
        <v>44</v>
      </c>
      <c r="L25" s="29">
        <v>2</v>
      </c>
      <c r="M25" s="22"/>
      <c r="N25" s="22" t="str">
        <f>INDEX(Language!$A$1:$AW$115,MATCH('Countries and Timezone'!$AG$14,Language!$B$1:$B$112,0),MATCH($H$3,Language!$A$1:$AW$1,0))</f>
        <v>Slowakei</v>
      </c>
      <c r="O25" s="22"/>
      <c r="P25" s="22"/>
      <c r="Q25" s="22"/>
      <c r="R25" s="22" t="s">
        <v>438</v>
      </c>
      <c r="S25" s="22"/>
      <c r="T25" s="22"/>
      <c r="U25" s="22"/>
      <c r="V25" s="22"/>
      <c r="W25" s="22"/>
      <c r="X25" s="22"/>
      <c r="Y25" s="22"/>
      <c r="Z25" s="22"/>
      <c r="AA25" s="24"/>
      <c r="AB25" s="1"/>
      <c r="AC25" s="62"/>
      <c r="AD25" s="241" t="str">
        <f>VLOOKUP(4,'Dummy Table'!$A$18:$B$22,2,FALSE)</f>
        <v>Ukraine</v>
      </c>
      <c r="AE25" s="241"/>
      <c r="AF25" s="241"/>
      <c r="AG25" s="241"/>
      <c r="AH25" s="23">
        <f>SUM(AI25:AK25)</f>
        <v>3</v>
      </c>
      <c r="AI25" s="23">
        <f>VLOOKUP($AD25,'Dummy Table'!$B$4:$C$40,2,FALSE)</f>
        <v>0</v>
      </c>
      <c r="AJ25" s="23">
        <f>VLOOKUP($AD25,'Dummy Table'!$B$4:$D$40,3,FALSE)</f>
        <v>0</v>
      </c>
      <c r="AK25" s="23">
        <f>VLOOKUP($AD25,'Dummy Table'!$B$4:$E$40,4,FALSE)</f>
        <v>3</v>
      </c>
      <c r="AL25" s="23">
        <f>VLOOKUP($AD25,'Dummy Table'!$B$4:$F$40,5,FALSE)</f>
        <v>0</v>
      </c>
      <c r="AM25" s="23" t="s">
        <v>44</v>
      </c>
      <c r="AN25" s="23">
        <f>VLOOKUP($AD25,'Dummy Table'!$B$4:$G$40,6,FALSE)</f>
        <v>5</v>
      </c>
      <c r="AO25" s="23">
        <f>AL25-AN25</f>
        <v>-5</v>
      </c>
      <c r="AP25" s="23">
        <f>AI25*3+AJ25*1</f>
        <v>0</v>
      </c>
      <c r="AQ25" s="112"/>
      <c r="AR25" s="24"/>
      <c r="AS25" s="13"/>
      <c r="DK25" s="19"/>
      <c r="DL25" s="25"/>
      <c r="DM25" s="26"/>
      <c r="DN25" s="19"/>
    </row>
    <row r="26" spans="2:118" s="20" customFormat="1" ht="18" customHeight="1" x14ac:dyDescent="0.25">
      <c r="B26" s="21"/>
      <c r="C26" s="21"/>
      <c r="D26" s="23">
        <v>14</v>
      </c>
      <c r="E26" s="23" t="s">
        <v>22</v>
      </c>
      <c r="F26" s="42">
        <f t="shared" si="0"/>
        <v>42536.75</v>
      </c>
      <c r="G26" s="27">
        <f>'Countries and Timezone'!R15</f>
        <v>42536.75</v>
      </c>
      <c r="H26" s="28" t="str">
        <f>INDEX(Language!$A$1:$AW$115,MATCH('Countries and Timezone'!$AG$8,Language!$B$1:$B$112,0),MATCH($H$3,Language!$A$1:$AW$1,0))</f>
        <v>Rumänien</v>
      </c>
      <c r="I26" s="22"/>
      <c r="J26" s="29">
        <v>1</v>
      </c>
      <c r="K26" s="50" t="s">
        <v>44</v>
      </c>
      <c r="L26" s="29">
        <v>1</v>
      </c>
      <c r="M26" s="22"/>
      <c r="N26" s="22" t="str">
        <f>INDEX(Language!$A$1:$AW$115,MATCH('Countries and Timezone'!$AG$10,Language!$B$1:$B$112,0),MATCH($H$3,Language!$A$1:$AW$1,0))</f>
        <v>Schweiz</v>
      </c>
      <c r="O26" s="22"/>
      <c r="P26" s="22"/>
      <c r="Q26" s="22"/>
      <c r="R26" s="22" t="s">
        <v>436</v>
      </c>
      <c r="S26" s="22"/>
      <c r="T26" s="22"/>
      <c r="U26" s="22"/>
      <c r="V26" s="22"/>
      <c r="W26" s="22"/>
      <c r="X26" s="22"/>
      <c r="Y26" s="22"/>
      <c r="Z26" s="22"/>
      <c r="AA26" s="24"/>
      <c r="AB26" s="1"/>
      <c r="AC26" s="239" t="str">
        <f>INDEX(Language!$A$1:$AX$115,MATCH("Group D",Language!$B$1:$B$112,0),MATCH($H$3,Language!$A$1:$AW$1,0))</f>
        <v>Gruppe D</v>
      </c>
      <c r="AD26" s="239"/>
      <c r="AE26" s="239"/>
      <c r="AF26" s="239"/>
      <c r="AG26" s="239"/>
      <c r="AH26" s="129" t="s">
        <v>0</v>
      </c>
      <c r="AI26" s="129" t="s">
        <v>19</v>
      </c>
      <c r="AJ26" s="129" t="s">
        <v>20</v>
      </c>
      <c r="AK26" s="129" t="s">
        <v>21</v>
      </c>
      <c r="AL26" s="129" t="s">
        <v>219</v>
      </c>
      <c r="AM26" s="129"/>
      <c r="AN26" s="129" t="s">
        <v>22</v>
      </c>
      <c r="AO26" s="129" t="s">
        <v>444</v>
      </c>
      <c r="AP26" s="129" t="s">
        <v>62</v>
      </c>
      <c r="AQ26" s="113"/>
      <c r="AR26" s="24"/>
      <c r="AS26" s="13"/>
      <c r="DK26" s="19"/>
      <c r="DL26" s="25"/>
      <c r="DM26" s="26"/>
      <c r="DN26" s="19"/>
    </row>
    <row r="27" spans="2:118" s="20" customFormat="1" ht="18" customHeight="1" x14ac:dyDescent="0.25">
      <c r="B27" s="21"/>
      <c r="C27" s="21"/>
      <c r="D27" s="23">
        <v>15</v>
      </c>
      <c r="E27" s="23" t="s">
        <v>22</v>
      </c>
      <c r="F27" s="42">
        <f t="shared" si="0"/>
        <v>42536.875</v>
      </c>
      <c r="G27" s="27">
        <f>'Countries and Timezone'!R16</f>
        <v>42536.875</v>
      </c>
      <c r="H27" s="28" t="str">
        <f>INDEX(Language!$A$1:$AW$115,MATCH('Countries and Timezone'!$AG$7,Language!$B$1:$B$112,0),MATCH($H$3,Language!$A$1:$AW$1,0))</f>
        <v>Frankreich</v>
      </c>
      <c r="I27" s="22"/>
      <c r="J27" s="29">
        <v>2</v>
      </c>
      <c r="K27" s="50" t="s">
        <v>44</v>
      </c>
      <c r="L27" s="29">
        <v>0</v>
      </c>
      <c r="M27" s="22"/>
      <c r="N27" s="22" t="str">
        <f>INDEX(Language!$A$1:$AW$115,MATCH('Countries and Timezone'!$AG$9,Language!$B$1:$B$112,0),MATCH($H$3,Language!$A$1:$AW$1,0))</f>
        <v>Albanien</v>
      </c>
      <c r="O27" s="22"/>
      <c r="P27" s="22"/>
      <c r="Q27" s="22"/>
      <c r="R27" s="22" t="s">
        <v>435</v>
      </c>
      <c r="S27" s="22"/>
      <c r="T27" s="22"/>
      <c r="U27" s="22"/>
      <c r="V27" s="22"/>
      <c r="W27" s="22"/>
      <c r="X27" s="22"/>
      <c r="Y27" s="22"/>
      <c r="Z27" s="22"/>
      <c r="AA27" s="24"/>
      <c r="AB27" s="1"/>
      <c r="AC27" s="124"/>
      <c r="AD27" s="242" t="str">
        <f>VLOOKUP(1,'Dummy Table'!$A$25:$B$29,2,FALSE)</f>
        <v>Kroatien</v>
      </c>
      <c r="AE27" s="242"/>
      <c r="AF27" s="242"/>
      <c r="AG27" s="242"/>
      <c r="AH27" s="123">
        <f>SUM(AI27:AK27)</f>
        <v>3</v>
      </c>
      <c r="AI27" s="123">
        <f>VLOOKUP($AD27,'Dummy Table'!$B$4:$C$40,2,FALSE)</f>
        <v>2</v>
      </c>
      <c r="AJ27" s="123">
        <f>VLOOKUP($AD27,'Dummy Table'!$B$4:$D$40,3,FALSE)</f>
        <v>1</v>
      </c>
      <c r="AK27" s="123">
        <f>VLOOKUP($AD27,'Dummy Table'!$B$4:$E$40,4,FALSE)</f>
        <v>0</v>
      </c>
      <c r="AL27" s="123">
        <f>VLOOKUP($AD27,'Dummy Table'!$B$4:$F$40,5,FALSE)</f>
        <v>5</v>
      </c>
      <c r="AM27" s="123" t="s">
        <v>44</v>
      </c>
      <c r="AN27" s="123">
        <f>VLOOKUP($AD27,'Dummy Table'!$B$4:$G$40,6,FALSE)</f>
        <v>3</v>
      </c>
      <c r="AO27" s="123">
        <f>AL27-AN27</f>
        <v>2</v>
      </c>
      <c r="AP27" s="123">
        <f>AI27*3+AJ27*1</f>
        <v>7</v>
      </c>
      <c r="AQ27" s="113"/>
      <c r="AR27" s="24"/>
      <c r="AS27" s="13"/>
      <c r="DK27" s="19"/>
      <c r="DL27" s="25"/>
      <c r="DM27" s="26"/>
      <c r="DN27" s="19"/>
    </row>
    <row r="28" spans="2:118" s="20" customFormat="1" ht="18" customHeight="1" x14ac:dyDescent="0.25">
      <c r="B28" s="21"/>
      <c r="C28" s="21"/>
      <c r="D28" s="23">
        <v>16</v>
      </c>
      <c r="E28" s="23" t="s">
        <v>9</v>
      </c>
      <c r="F28" s="42">
        <f t="shared" si="0"/>
        <v>42537.625</v>
      </c>
      <c r="G28" s="27">
        <f>'Countries and Timezone'!R17</f>
        <v>42537.625</v>
      </c>
      <c r="H28" s="28" t="str">
        <f>INDEX(Language!$A$1:$AW$115,MATCH('Countries and Timezone'!$AG$11,Language!$B$1:$B$112,0),MATCH($H$3,Language!$A$1:$AW$1,0))</f>
        <v>England</v>
      </c>
      <c r="I28" s="22"/>
      <c r="J28" s="29">
        <v>2</v>
      </c>
      <c r="K28" s="50" t="s">
        <v>44</v>
      </c>
      <c r="L28" s="29">
        <v>1</v>
      </c>
      <c r="M28" s="22"/>
      <c r="N28" s="22" t="str">
        <f>INDEX(Language!$A$1:$AW$115,MATCH('Countries and Timezone'!$AG$13,Language!$B$1:$B$112,0),MATCH($H$3,Language!$A$1:$AW$1,0))</f>
        <v>Wales</v>
      </c>
      <c r="O28" s="22"/>
      <c r="P28" s="22"/>
      <c r="Q28" s="22"/>
      <c r="R28" s="22" t="s">
        <v>433</v>
      </c>
      <c r="S28" s="22"/>
      <c r="T28" s="22"/>
      <c r="U28" s="22"/>
      <c r="V28" s="22"/>
      <c r="W28" s="22"/>
      <c r="X28" s="22"/>
      <c r="Y28" s="22"/>
      <c r="Z28" s="22"/>
      <c r="AA28" s="24"/>
      <c r="AB28" s="1"/>
      <c r="AC28" s="124"/>
      <c r="AD28" s="236" t="str">
        <f>VLOOKUP(2,'Dummy Table'!$A$25:$B$29,2,FALSE)</f>
        <v>Spanien</v>
      </c>
      <c r="AE28" s="236"/>
      <c r="AF28" s="236"/>
      <c r="AG28" s="236"/>
      <c r="AH28" s="135">
        <f>SUM(AI28:AK28)</f>
        <v>3</v>
      </c>
      <c r="AI28" s="135">
        <f>VLOOKUP($AD28,'Dummy Table'!$B$4:$C$40,2,FALSE)</f>
        <v>2</v>
      </c>
      <c r="AJ28" s="135">
        <f>VLOOKUP($AD28,'Dummy Table'!$B$4:$D$40,3,FALSE)</f>
        <v>0</v>
      </c>
      <c r="AK28" s="135">
        <f>VLOOKUP($AD28,'Dummy Table'!$B$4:$E$40,4,FALSE)</f>
        <v>1</v>
      </c>
      <c r="AL28" s="135">
        <f>VLOOKUP($AD28,'Dummy Table'!$B$4:$F$40,5,FALSE)</f>
        <v>5</v>
      </c>
      <c r="AM28" s="135" t="s">
        <v>44</v>
      </c>
      <c r="AN28" s="135">
        <f>VLOOKUP($AD28,'Dummy Table'!$B$4:$G$40,6,FALSE)</f>
        <v>2</v>
      </c>
      <c r="AO28" s="135">
        <f>AL28-AN28</f>
        <v>3</v>
      </c>
      <c r="AP28" s="135">
        <f>AI28*3+AJ28*1</f>
        <v>6</v>
      </c>
      <c r="AQ28" s="113"/>
      <c r="AR28" s="24"/>
      <c r="AS28" s="13"/>
      <c r="DK28" s="19"/>
      <c r="DL28" s="25"/>
      <c r="DM28" s="26"/>
      <c r="DN28" s="19"/>
    </row>
    <row r="29" spans="2:118" s="20" customFormat="1" ht="18" customHeight="1" x14ac:dyDescent="0.25">
      <c r="B29" s="21"/>
      <c r="C29" s="21"/>
      <c r="D29" s="23">
        <v>17</v>
      </c>
      <c r="E29" s="23" t="s">
        <v>10</v>
      </c>
      <c r="F29" s="42">
        <f t="shared" si="0"/>
        <v>42537.75</v>
      </c>
      <c r="G29" s="27">
        <f>'Countries and Timezone'!R18</f>
        <v>42537.75</v>
      </c>
      <c r="H29" s="28" t="str">
        <f>INDEX(Language!$A$1:$AW$115,MATCH('Countries and Timezone'!$AG$16,Language!$B$1:$B$112,0),MATCH($H$3,Language!$A$1:$AW$1,0))</f>
        <v>Ukraine</v>
      </c>
      <c r="I29" s="22"/>
      <c r="J29" s="29">
        <v>0</v>
      </c>
      <c r="K29" s="50" t="s">
        <v>44</v>
      </c>
      <c r="L29" s="29">
        <v>2</v>
      </c>
      <c r="M29" s="22"/>
      <c r="N29" s="22" t="str">
        <f>INDEX(Language!$A$1:$AW$115,MATCH('Countries and Timezone'!$AG$18,Language!$B$1:$B$112,0),MATCH($H$3,Language!$A$1:$AW$1,0))</f>
        <v>Nordirland</v>
      </c>
      <c r="O29" s="22"/>
      <c r="P29" s="22"/>
      <c r="Q29" s="22"/>
      <c r="R29" s="22" t="s">
        <v>440</v>
      </c>
      <c r="S29" s="22"/>
      <c r="T29" s="22"/>
      <c r="U29" s="22"/>
      <c r="V29" s="22"/>
      <c r="W29" s="22"/>
      <c r="X29" s="22"/>
      <c r="Y29" s="22"/>
      <c r="Z29" s="22"/>
      <c r="AA29" s="24"/>
      <c r="AB29" s="1"/>
      <c r="AC29" s="125"/>
      <c r="AD29" s="235" t="str">
        <f>VLOOKUP(3,'Dummy Table'!$A$25:$B$29,2,FALSE)</f>
        <v>Truthahn</v>
      </c>
      <c r="AE29" s="235"/>
      <c r="AF29" s="235"/>
      <c r="AG29" s="235"/>
      <c r="AH29" s="126">
        <f>SUM(AI29:AK29)</f>
        <v>3</v>
      </c>
      <c r="AI29" s="126">
        <f>VLOOKUP($AD29,'Dummy Table'!$B$4:$C$40,2,FALSE)</f>
        <v>1</v>
      </c>
      <c r="AJ29" s="126">
        <f>VLOOKUP($AD29,'Dummy Table'!$B$4:$D$40,3,FALSE)</f>
        <v>0</v>
      </c>
      <c r="AK29" s="126">
        <f>VLOOKUP($AD29,'Dummy Table'!$B$4:$E$40,4,FALSE)</f>
        <v>2</v>
      </c>
      <c r="AL29" s="126">
        <f>VLOOKUP($AD29,'Dummy Table'!$B$4:$F$40,5,FALSE)</f>
        <v>2</v>
      </c>
      <c r="AM29" s="126" t="s">
        <v>44</v>
      </c>
      <c r="AN29" s="126">
        <f>VLOOKUP($AD29,'Dummy Table'!$B$4:$G$40,6,FALSE)</f>
        <v>4</v>
      </c>
      <c r="AO29" s="126">
        <f>AL29-AN29</f>
        <v>-2</v>
      </c>
      <c r="AP29" s="126">
        <f>AI29*3+AJ29*1</f>
        <v>3</v>
      </c>
      <c r="AQ29" s="113"/>
      <c r="AR29" s="24"/>
      <c r="AS29" s="13"/>
      <c r="DK29" s="19"/>
      <c r="DL29" s="25"/>
      <c r="DM29" s="26"/>
      <c r="DN29" s="19"/>
    </row>
    <row r="30" spans="2:118" s="20" customFormat="1" ht="18" customHeight="1" x14ac:dyDescent="0.25">
      <c r="B30" s="21"/>
      <c r="C30" s="21"/>
      <c r="D30" s="23">
        <v>18</v>
      </c>
      <c r="E30" s="23" t="s">
        <v>10</v>
      </c>
      <c r="F30" s="42">
        <f t="shared" si="0"/>
        <v>42537.875</v>
      </c>
      <c r="G30" s="27">
        <f>'Countries and Timezone'!R19</f>
        <v>42537.875</v>
      </c>
      <c r="H30" s="28" t="str">
        <f>INDEX(Language!$A$1:$AW$115,MATCH('Countries and Timezone'!$AG$15,Language!$B$1:$B$112,0),MATCH($H$3,Language!$A$1:$AW$1,0))</f>
        <v>Deutschland</v>
      </c>
      <c r="I30" s="22"/>
      <c r="J30" s="29">
        <v>0</v>
      </c>
      <c r="K30" s="50" t="s">
        <v>44</v>
      </c>
      <c r="L30" s="29">
        <v>0</v>
      </c>
      <c r="M30" s="22"/>
      <c r="N30" s="22" t="str">
        <f>INDEX(Language!$A$1:$AW$115,MATCH('Countries and Timezone'!$AG$17,Language!$B$1:$B$112,0),MATCH($H$3,Language!$A$1:$AW$1,0))</f>
        <v>Polen</v>
      </c>
      <c r="O30" s="22"/>
      <c r="P30" s="22"/>
      <c r="Q30" s="22"/>
      <c r="R30" s="22" t="s">
        <v>432</v>
      </c>
      <c r="S30" s="22"/>
      <c r="T30" s="22"/>
      <c r="U30" s="22"/>
      <c r="V30" s="22"/>
      <c r="W30" s="22"/>
      <c r="X30" s="22"/>
      <c r="Y30" s="22"/>
      <c r="Z30" s="22"/>
      <c r="AA30" s="24"/>
      <c r="AB30" s="1"/>
      <c r="AC30" s="62"/>
      <c r="AD30" s="241" t="str">
        <f>VLOOKUP(4,'Dummy Table'!$A$25:$B$29,2,FALSE)</f>
        <v>Tschechien</v>
      </c>
      <c r="AE30" s="241"/>
      <c r="AF30" s="241"/>
      <c r="AG30" s="241"/>
      <c r="AH30" s="23">
        <f>SUM(AI30:AK30)</f>
        <v>3</v>
      </c>
      <c r="AI30" s="23">
        <f>VLOOKUP($AD30,'Dummy Table'!$B$4:$C$40,2,FALSE)</f>
        <v>0</v>
      </c>
      <c r="AJ30" s="23">
        <f>VLOOKUP($AD30,'Dummy Table'!$B$4:$D$40,3,FALSE)</f>
        <v>1</v>
      </c>
      <c r="AK30" s="23">
        <f>VLOOKUP($AD30,'Dummy Table'!$B$4:$E$40,4,FALSE)</f>
        <v>2</v>
      </c>
      <c r="AL30" s="23">
        <f>VLOOKUP($AD30,'Dummy Table'!$B$4:$F$40,5,FALSE)</f>
        <v>2</v>
      </c>
      <c r="AM30" s="23" t="s">
        <v>44</v>
      </c>
      <c r="AN30" s="23">
        <f>VLOOKUP($AD30,'Dummy Table'!$B$4:$G$40,6,FALSE)</f>
        <v>5</v>
      </c>
      <c r="AO30" s="23">
        <f>AL30-AN30</f>
        <v>-3</v>
      </c>
      <c r="AP30" s="23">
        <f>AI30*3+AJ30*1</f>
        <v>1</v>
      </c>
      <c r="AQ30" s="113"/>
      <c r="AR30" s="24"/>
      <c r="AS30" s="13"/>
      <c r="DK30" s="19"/>
      <c r="DL30" s="25"/>
      <c r="DM30" s="26"/>
      <c r="DN30" s="19"/>
    </row>
    <row r="31" spans="2:118" s="20" customFormat="1" ht="18" customHeight="1" x14ac:dyDescent="0.25">
      <c r="B31" s="21"/>
      <c r="C31" s="21"/>
      <c r="D31" s="23">
        <v>19</v>
      </c>
      <c r="E31" s="23" t="s">
        <v>211</v>
      </c>
      <c r="F31" s="42">
        <f t="shared" si="0"/>
        <v>42538.625</v>
      </c>
      <c r="G31" s="27">
        <f>'Countries and Timezone'!R20</f>
        <v>42538.625</v>
      </c>
      <c r="H31" s="28" t="str">
        <f>INDEX(Language!$A$1:$AW$115,MATCH('Countries and Timezone'!$AG$24,Language!$B$1:$B$112,0),MATCH($H$3,Language!$A$1:$AW$1,0))</f>
        <v>Italien</v>
      </c>
      <c r="I31" s="22"/>
      <c r="J31" s="29">
        <v>1</v>
      </c>
      <c r="K31" s="50" t="s">
        <v>44</v>
      </c>
      <c r="L31" s="29">
        <v>0</v>
      </c>
      <c r="M31" s="22"/>
      <c r="N31" s="22" t="str">
        <f>INDEX(Language!$A$1:$AW$115,MATCH('Countries and Timezone'!$AG$26,Language!$B$1:$B$112,0),MATCH($H$3,Language!$A$1:$AW$1,0))</f>
        <v>Schweden</v>
      </c>
      <c r="O31" s="22"/>
      <c r="P31" s="22"/>
      <c r="Q31" s="22"/>
      <c r="R31" s="22" t="s">
        <v>439</v>
      </c>
      <c r="S31" s="22"/>
      <c r="T31" s="22"/>
      <c r="U31" s="22"/>
      <c r="V31" s="22"/>
      <c r="W31" s="22"/>
      <c r="X31" s="22"/>
      <c r="Y31" s="22"/>
      <c r="Z31" s="22"/>
      <c r="AA31" s="24"/>
      <c r="AB31" s="1"/>
      <c r="AC31" s="238" t="str">
        <f>INDEX(Language!$A$1:$AX$115,MATCH("Group E",Language!$B$1:$B$112,0),MATCH($H$3,Language!$A$1:$AW$1,0))</f>
        <v>Gruppe E</v>
      </c>
      <c r="AD31" s="238"/>
      <c r="AE31" s="238"/>
      <c r="AF31" s="238"/>
      <c r="AG31" s="238"/>
      <c r="AH31" s="130" t="s">
        <v>0</v>
      </c>
      <c r="AI31" s="130" t="s">
        <v>19</v>
      </c>
      <c r="AJ31" s="130" t="s">
        <v>20</v>
      </c>
      <c r="AK31" s="130" t="s">
        <v>21</v>
      </c>
      <c r="AL31" s="130" t="s">
        <v>219</v>
      </c>
      <c r="AM31" s="130"/>
      <c r="AN31" s="130" t="s">
        <v>22</v>
      </c>
      <c r="AO31" s="130" t="s">
        <v>444</v>
      </c>
      <c r="AP31" s="130" t="s">
        <v>62</v>
      </c>
      <c r="AQ31" s="105"/>
      <c r="AR31" s="24"/>
      <c r="AS31" s="13"/>
      <c r="DK31" s="19"/>
      <c r="DL31" s="25"/>
      <c r="DM31" s="26"/>
      <c r="DN31" s="19"/>
    </row>
    <row r="32" spans="2:118" s="20" customFormat="1" ht="18" customHeight="1" x14ac:dyDescent="0.25">
      <c r="B32" s="21"/>
      <c r="C32" s="21"/>
      <c r="D32" s="23">
        <v>20</v>
      </c>
      <c r="E32" s="23" t="s">
        <v>20</v>
      </c>
      <c r="F32" s="42">
        <f t="shared" si="0"/>
        <v>42538.75</v>
      </c>
      <c r="G32" s="27">
        <f>'Countries and Timezone'!R21</f>
        <v>42538.75</v>
      </c>
      <c r="H32" s="28" t="str">
        <f>INDEX(Language!$A$1:$AW$115,MATCH('Countries and Timezone'!$AG$20,Language!$B$1:$B$112,0),MATCH($H$3,Language!$A$1:$AW$1,0))</f>
        <v>Tschechien</v>
      </c>
      <c r="I32" s="22"/>
      <c r="J32" s="29">
        <v>2</v>
      </c>
      <c r="K32" s="50" t="s">
        <v>44</v>
      </c>
      <c r="L32" s="29">
        <v>2</v>
      </c>
      <c r="M32" s="22"/>
      <c r="N32" s="22" t="str">
        <f>INDEX(Language!$A$1:$AW$115,MATCH('Countries and Timezone'!$AG$22,Language!$B$1:$B$112,0),MATCH($H$3,Language!$A$1:$AW$1,0))</f>
        <v>Kroatien</v>
      </c>
      <c r="O32" s="22"/>
      <c r="P32" s="22"/>
      <c r="Q32" s="22"/>
      <c r="R32" s="22" t="s">
        <v>441</v>
      </c>
      <c r="S32" s="22"/>
      <c r="T32" s="22"/>
      <c r="U32" s="22"/>
      <c r="V32" s="22"/>
      <c r="W32" s="22"/>
      <c r="X32" s="22"/>
      <c r="Y32" s="22"/>
      <c r="Z32" s="22"/>
      <c r="AA32" s="24"/>
      <c r="AB32" s="1"/>
      <c r="AC32" s="124"/>
      <c r="AD32" s="242" t="str">
        <f>VLOOKUP(1,'Dummy Table'!$A$31:$B$35,2,FALSE)</f>
        <v>Italien</v>
      </c>
      <c r="AE32" s="242"/>
      <c r="AF32" s="242"/>
      <c r="AG32" s="242"/>
      <c r="AH32" s="123">
        <f>SUM(AI32:AK32)</f>
        <v>3</v>
      </c>
      <c r="AI32" s="123">
        <f>VLOOKUP($AD32,'Dummy Table'!$B$4:$C$40,2,FALSE)</f>
        <v>2</v>
      </c>
      <c r="AJ32" s="123">
        <f>VLOOKUP($AD32,'Dummy Table'!$B$4:$D$40,3,FALSE)</f>
        <v>0</v>
      </c>
      <c r="AK32" s="123">
        <f>VLOOKUP($AD32,'Dummy Table'!$B$4:$E$40,4,FALSE)</f>
        <v>1</v>
      </c>
      <c r="AL32" s="123">
        <f>VLOOKUP($AD32,'Dummy Table'!$B$4:$F$40,5,FALSE)</f>
        <v>3</v>
      </c>
      <c r="AM32" s="123" t="s">
        <v>44</v>
      </c>
      <c r="AN32" s="123">
        <f>VLOOKUP($AD32,'Dummy Table'!$B$4:$G$40,6,FALSE)</f>
        <v>1</v>
      </c>
      <c r="AO32" s="123">
        <f>AL32-AN32</f>
        <v>2</v>
      </c>
      <c r="AP32" s="123">
        <f>AI32*3+AJ32*1</f>
        <v>6</v>
      </c>
      <c r="AQ32" s="105"/>
      <c r="AR32" s="24"/>
      <c r="AS32" s="13"/>
      <c r="DK32" s="19"/>
      <c r="DL32" s="25"/>
      <c r="DM32" s="26"/>
      <c r="DN32" s="19"/>
    </row>
    <row r="33" spans="2:118" s="20" customFormat="1" ht="18" customHeight="1" x14ac:dyDescent="0.25">
      <c r="B33" s="21"/>
      <c r="C33" s="21"/>
      <c r="D33" s="23">
        <v>21</v>
      </c>
      <c r="E33" s="23" t="s">
        <v>20</v>
      </c>
      <c r="F33" s="42">
        <f t="shared" si="0"/>
        <v>42538.875</v>
      </c>
      <c r="G33" s="27">
        <f>'Countries and Timezone'!R22</f>
        <v>42538.875</v>
      </c>
      <c r="H33" s="28" t="str">
        <f>INDEX(Language!$A$1:$AW$115,MATCH('Countries and Timezone'!$AG$19,Language!$B$1:$B$112,0),MATCH($H$3,Language!$A$1:$AW$1,0))</f>
        <v>Spanien</v>
      </c>
      <c r="I33" s="22"/>
      <c r="J33" s="29">
        <v>3</v>
      </c>
      <c r="K33" s="50" t="s">
        <v>44</v>
      </c>
      <c r="L33" s="29">
        <v>0</v>
      </c>
      <c r="M33" s="22"/>
      <c r="N33" s="22" t="str">
        <f>INDEX(Language!$A$1:$AW$115,MATCH('Countries and Timezone'!$AG$21,Language!$B$1:$B$112,0),MATCH($H$3,Language!$A$1:$AW$1,0))</f>
        <v>Truthahn</v>
      </c>
      <c r="O33" s="22"/>
      <c r="P33" s="22"/>
      <c r="Q33" s="22"/>
      <c r="R33" s="22" t="s">
        <v>437</v>
      </c>
      <c r="S33" s="22"/>
      <c r="T33" s="22"/>
      <c r="U33" s="22"/>
      <c r="V33" s="22"/>
      <c r="W33" s="22"/>
      <c r="X33" s="22"/>
      <c r="Y33" s="22"/>
      <c r="Z33" s="22"/>
      <c r="AA33" s="24"/>
      <c r="AB33" s="1"/>
      <c r="AC33" s="124"/>
      <c r="AD33" s="236" t="str">
        <f>VLOOKUP(2,'Dummy Table'!$A$31:$B$35,2,FALSE)</f>
        <v>Belgien</v>
      </c>
      <c r="AE33" s="236"/>
      <c r="AF33" s="236"/>
      <c r="AG33" s="236"/>
      <c r="AH33" s="135">
        <f>SUM(AI33:AK33)</f>
        <v>3</v>
      </c>
      <c r="AI33" s="135">
        <f>VLOOKUP($AD33,'Dummy Table'!$B$4:$C$40,2,FALSE)</f>
        <v>2</v>
      </c>
      <c r="AJ33" s="135">
        <f>VLOOKUP($AD33,'Dummy Table'!$B$4:$D$40,3,FALSE)</f>
        <v>0</v>
      </c>
      <c r="AK33" s="135">
        <f>VLOOKUP($AD33,'Dummy Table'!$B$4:$E$40,4,FALSE)</f>
        <v>1</v>
      </c>
      <c r="AL33" s="135">
        <f>VLOOKUP($AD33,'Dummy Table'!$B$4:$F$40,5,FALSE)</f>
        <v>4</v>
      </c>
      <c r="AM33" s="135" t="s">
        <v>44</v>
      </c>
      <c r="AN33" s="135">
        <f>VLOOKUP($AD33,'Dummy Table'!$B$4:$G$40,6,FALSE)</f>
        <v>2</v>
      </c>
      <c r="AO33" s="135">
        <f>AL33-AN33</f>
        <v>2</v>
      </c>
      <c r="AP33" s="135">
        <f>AI33*3+AJ33*1</f>
        <v>6</v>
      </c>
      <c r="AQ33" s="105"/>
      <c r="AR33" s="24"/>
      <c r="AS33" s="13"/>
      <c r="DK33" s="19"/>
      <c r="DL33" s="25"/>
      <c r="DM33" s="26"/>
      <c r="DN33" s="19"/>
    </row>
    <row r="34" spans="2:118" s="20" customFormat="1" ht="18" customHeight="1" x14ac:dyDescent="0.25">
      <c r="B34" s="21"/>
      <c r="C34" s="21"/>
      <c r="D34" s="23">
        <v>22</v>
      </c>
      <c r="E34" s="23" t="s">
        <v>211</v>
      </c>
      <c r="F34" s="42">
        <f t="shared" si="0"/>
        <v>42539.625</v>
      </c>
      <c r="G34" s="27">
        <f>'Countries and Timezone'!R23</f>
        <v>42539.625</v>
      </c>
      <c r="H34" s="28" t="str">
        <f>INDEX(Language!$A$1:$AW$115,MATCH('Countries and Timezone'!$AG$23,Language!$B$1:$B$112,0),MATCH($H$3,Language!$A$1:$AW$1,0))</f>
        <v>Belgien</v>
      </c>
      <c r="I34" s="22"/>
      <c r="J34" s="29">
        <v>3</v>
      </c>
      <c r="K34" s="50" t="s">
        <v>44</v>
      </c>
      <c r="L34" s="29">
        <v>0</v>
      </c>
      <c r="M34" s="22"/>
      <c r="N34" s="22" t="str">
        <f>INDEX(Language!$A$1:$AW$115,MATCH('Countries and Timezone'!$AG$25,Language!$B$1:$B$112,0),MATCH($H$3,Language!$A$1:$AW$1,0))</f>
        <v>Irische Republik</v>
      </c>
      <c r="O34" s="22"/>
      <c r="P34" s="22"/>
      <c r="Q34" s="22"/>
      <c r="R34" s="22" t="s">
        <v>434</v>
      </c>
      <c r="S34" s="22"/>
      <c r="T34" s="22"/>
      <c r="U34" s="22"/>
      <c r="V34" s="22"/>
      <c r="W34" s="22"/>
      <c r="X34" s="22"/>
      <c r="Y34" s="22"/>
      <c r="Z34" s="22"/>
      <c r="AA34" s="24"/>
      <c r="AB34" s="1"/>
      <c r="AC34" s="125"/>
      <c r="AD34" s="235" t="str">
        <f>VLOOKUP(3,'Dummy Table'!$A$31:$B$35,2,FALSE)</f>
        <v>Irische Republik</v>
      </c>
      <c r="AE34" s="235"/>
      <c r="AF34" s="235"/>
      <c r="AG34" s="235"/>
      <c r="AH34" s="126">
        <f>SUM(AI34:AK34)</f>
        <v>3</v>
      </c>
      <c r="AI34" s="126">
        <f>VLOOKUP($AD34,'Dummy Table'!$B$4:$C$40,2,FALSE)</f>
        <v>1</v>
      </c>
      <c r="AJ34" s="126">
        <f>VLOOKUP($AD34,'Dummy Table'!$B$4:$D$40,3,FALSE)</f>
        <v>1</v>
      </c>
      <c r="AK34" s="126">
        <f>VLOOKUP($AD34,'Dummy Table'!$B$4:$E$40,4,FALSE)</f>
        <v>1</v>
      </c>
      <c r="AL34" s="126">
        <f>VLOOKUP($AD34,'Dummy Table'!$B$4:$F$40,5,FALSE)</f>
        <v>2</v>
      </c>
      <c r="AM34" s="126" t="s">
        <v>44</v>
      </c>
      <c r="AN34" s="126">
        <f>VLOOKUP($AD34,'Dummy Table'!$B$4:$G$40,6,FALSE)</f>
        <v>4</v>
      </c>
      <c r="AO34" s="126">
        <f>AL34-AN34</f>
        <v>-2</v>
      </c>
      <c r="AP34" s="126">
        <f>AI34*3+AJ34*1</f>
        <v>4</v>
      </c>
      <c r="AQ34" s="105"/>
      <c r="AR34" s="24"/>
      <c r="AS34" s="13"/>
      <c r="DK34" s="19"/>
      <c r="DL34" s="25"/>
      <c r="DM34" s="26"/>
      <c r="DN34" s="19"/>
    </row>
    <row r="35" spans="2:118" s="20" customFormat="1" ht="18" customHeight="1" x14ac:dyDescent="0.25">
      <c r="B35" s="21"/>
      <c r="C35" s="21"/>
      <c r="D35" s="23">
        <v>23</v>
      </c>
      <c r="E35" s="23" t="s">
        <v>219</v>
      </c>
      <c r="F35" s="42">
        <f t="shared" si="0"/>
        <v>42539.75</v>
      </c>
      <c r="G35" s="27">
        <f>'Countries and Timezone'!R24</f>
        <v>42539.75</v>
      </c>
      <c r="H35" s="28" t="str">
        <f>INDEX(Language!$A$1:$AW$115,MATCH('Countries and Timezone'!$AG$28,Language!$B$1:$B$112,0),MATCH($H$3,Language!$A$1:$AW$1,0))</f>
        <v>Island</v>
      </c>
      <c r="I35" s="22"/>
      <c r="J35" s="29">
        <v>1</v>
      </c>
      <c r="K35" s="50" t="s">
        <v>44</v>
      </c>
      <c r="L35" s="29">
        <v>1</v>
      </c>
      <c r="M35" s="22"/>
      <c r="N35" s="22" t="str">
        <f>INDEX(Language!$A$1:$AW$115,MATCH('Countries and Timezone'!$AG$30,Language!$B$1:$B$112,0),MATCH($H$3,Language!$A$1:$AW$1,0))</f>
        <v>Ungarn</v>
      </c>
      <c r="O35" s="22"/>
      <c r="P35" s="22"/>
      <c r="Q35" s="22"/>
      <c r="R35" s="22" t="s">
        <v>435</v>
      </c>
      <c r="S35" s="22"/>
      <c r="T35" s="22"/>
      <c r="U35" s="22"/>
      <c r="V35" s="22"/>
      <c r="W35" s="22"/>
      <c r="X35" s="22"/>
      <c r="Y35" s="22"/>
      <c r="Z35" s="22"/>
      <c r="AA35" s="24"/>
      <c r="AB35" s="1"/>
      <c r="AC35" s="62"/>
      <c r="AD35" s="241" t="str">
        <f>VLOOKUP(4,'Dummy Table'!$A$31:$B$35,2,FALSE)</f>
        <v>Schweden</v>
      </c>
      <c r="AE35" s="241"/>
      <c r="AF35" s="241"/>
      <c r="AG35" s="241"/>
      <c r="AH35" s="23">
        <f>SUM(AI35:AK35)</f>
        <v>3</v>
      </c>
      <c r="AI35" s="23">
        <f>VLOOKUP($AD35,'Dummy Table'!$B$4:$C$40,2,FALSE)</f>
        <v>0</v>
      </c>
      <c r="AJ35" s="23">
        <f>VLOOKUP($AD35,'Dummy Table'!$B$4:$D$40,3,FALSE)</f>
        <v>1</v>
      </c>
      <c r="AK35" s="23">
        <f>VLOOKUP($AD35,'Dummy Table'!$B$4:$E$40,4,FALSE)</f>
        <v>2</v>
      </c>
      <c r="AL35" s="23">
        <f>VLOOKUP($AD35,'Dummy Table'!$B$4:$F$40,5,FALSE)</f>
        <v>1</v>
      </c>
      <c r="AM35" s="23" t="s">
        <v>44</v>
      </c>
      <c r="AN35" s="23">
        <f>VLOOKUP($AD35,'Dummy Table'!$B$4:$G$40,6,FALSE)</f>
        <v>3</v>
      </c>
      <c r="AO35" s="23">
        <f>AL35-AN35</f>
        <v>-2</v>
      </c>
      <c r="AP35" s="23">
        <f>AI35*3+AJ35*1</f>
        <v>1</v>
      </c>
      <c r="AQ35" s="105"/>
      <c r="AR35" s="24"/>
      <c r="AS35" s="13"/>
      <c r="DK35" s="19"/>
      <c r="DL35" s="25"/>
      <c r="DM35" s="26"/>
      <c r="DN35" s="19"/>
    </row>
    <row r="36" spans="2:118" s="20" customFormat="1" ht="18" customHeight="1" x14ac:dyDescent="0.25">
      <c r="B36" s="21"/>
      <c r="C36" s="21"/>
      <c r="D36" s="23">
        <v>24</v>
      </c>
      <c r="E36" s="23" t="s">
        <v>219</v>
      </c>
      <c r="F36" s="42">
        <f t="shared" si="0"/>
        <v>42539.875</v>
      </c>
      <c r="G36" s="27">
        <f>'Countries and Timezone'!R25</f>
        <v>42539.875</v>
      </c>
      <c r="H36" s="28" t="str">
        <f>INDEX(Language!$A$1:$AW$115,MATCH('Countries and Timezone'!$AG$27,Language!$B$1:$B$112,0),MATCH($H$3,Language!$A$1:$AW$1,0))</f>
        <v>Portugal</v>
      </c>
      <c r="I36" s="22"/>
      <c r="J36" s="29">
        <v>0</v>
      </c>
      <c r="K36" s="50" t="s">
        <v>44</v>
      </c>
      <c r="L36" s="29">
        <v>0</v>
      </c>
      <c r="M36" s="22"/>
      <c r="N36" s="22" t="str">
        <f>INDEX(Language!$A$1:$AW$115,MATCH('Countries and Timezone'!$AG$29,Language!$B$1:$B$112,0),MATCH($H$3,Language!$A$1:$AW$1,0))</f>
        <v>Österreich</v>
      </c>
      <c r="O36" s="22"/>
      <c r="P36" s="22"/>
      <c r="Q36" s="22"/>
      <c r="R36" s="22" t="s">
        <v>436</v>
      </c>
      <c r="S36" s="22"/>
      <c r="T36" s="22"/>
      <c r="U36" s="22"/>
      <c r="V36" s="22"/>
      <c r="W36" s="22"/>
      <c r="X36" s="22"/>
      <c r="Y36" s="22"/>
      <c r="Z36" s="22"/>
      <c r="AA36" s="24"/>
      <c r="AB36" s="1"/>
      <c r="AC36" s="237" t="str">
        <f>INDEX(Language!$A$1:$AX$115,MATCH("Group F",Language!$B$1:$B$112,0),MATCH($H$3,Language!$A$1:$AW$1,0))</f>
        <v>Gruppe F</v>
      </c>
      <c r="AD36" s="237"/>
      <c r="AE36" s="237"/>
      <c r="AF36" s="237"/>
      <c r="AG36" s="237"/>
      <c r="AH36" s="131" t="s">
        <v>0</v>
      </c>
      <c r="AI36" s="131" t="s">
        <v>19</v>
      </c>
      <c r="AJ36" s="131" t="s">
        <v>20</v>
      </c>
      <c r="AK36" s="131" t="s">
        <v>21</v>
      </c>
      <c r="AL36" s="131" t="s">
        <v>219</v>
      </c>
      <c r="AM36" s="131"/>
      <c r="AN36" s="131" t="s">
        <v>22</v>
      </c>
      <c r="AO36" s="131" t="s">
        <v>444</v>
      </c>
      <c r="AP36" s="131" t="s">
        <v>62</v>
      </c>
      <c r="AQ36" s="108"/>
      <c r="AR36" s="24"/>
      <c r="AS36" s="13"/>
      <c r="DK36" s="19"/>
      <c r="DL36" s="25"/>
      <c r="DM36" s="26"/>
      <c r="DN36" s="19"/>
    </row>
    <row r="37" spans="2:118" s="20" customFormat="1" ht="18" customHeight="1" x14ac:dyDescent="0.25">
      <c r="B37" s="21"/>
      <c r="C37" s="21"/>
      <c r="D37" s="23">
        <v>25</v>
      </c>
      <c r="E37" s="23" t="s">
        <v>22</v>
      </c>
      <c r="F37" s="42">
        <f t="shared" si="0"/>
        <v>42540.875</v>
      </c>
      <c r="G37" s="27">
        <f>'Countries and Timezone'!R26</f>
        <v>42540.875</v>
      </c>
      <c r="H37" s="28" t="str">
        <f>INDEX(Language!$A$1:$AW$115,MATCH('Countries and Timezone'!$AG$8,Language!$B$1:$B$112,0),MATCH($H$3,Language!$A$1:$AW$1,0))</f>
        <v>Rumänien</v>
      </c>
      <c r="I37" s="22"/>
      <c r="J37" s="29">
        <v>0</v>
      </c>
      <c r="K37" s="50" t="s">
        <v>44</v>
      </c>
      <c r="L37" s="29">
        <v>1</v>
      </c>
      <c r="M37" s="22"/>
      <c r="N37" s="22" t="str">
        <f>INDEX(Language!$A$1:$AW$115,MATCH('Countries and Timezone'!$AG$9,Language!$B$1:$B$112,0),MATCH($H$3,Language!$A$1:$AW$1,0))</f>
        <v>Albanien</v>
      </c>
      <c r="O37" s="22"/>
      <c r="P37" s="22"/>
      <c r="Q37" s="22"/>
      <c r="R37" s="22" t="s">
        <v>440</v>
      </c>
      <c r="S37" s="22"/>
      <c r="T37" s="22"/>
      <c r="U37" s="22"/>
      <c r="V37" s="22"/>
      <c r="W37" s="22"/>
      <c r="X37" s="22"/>
      <c r="Y37" s="22"/>
      <c r="Z37" s="22"/>
      <c r="AA37" s="24"/>
      <c r="AB37" s="1"/>
      <c r="AC37" s="124"/>
      <c r="AD37" s="242" t="str">
        <f>VLOOKUP(1,'Dummy Table'!$A$37:$B$41,2,FALSE)</f>
        <v>Ungarn</v>
      </c>
      <c r="AE37" s="242"/>
      <c r="AF37" s="242"/>
      <c r="AG37" s="242"/>
      <c r="AH37" s="123">
        <f>SUM(AI37:AK37)</f>
        <v>3</v>
      </c>
      <c r="AI37" s="123">
        <f>VLOOKUP($AD37,'Dummy Table'!$B$4:$C$40,2,FALSE)</f>
        <v>1</v>
      </c>
      <c r="AJ37" s="123">
        <f>VLOOKUP($AD37,'Dummy Table'!$B$4:$D$40,3,FALSE)</f>
        <v>2</v>
      </c>
      <c r="AK37" s="123">
        <f>VLOOKUP($AD37,'Dummy Table'!$B$4:$E$40,4,FALSE)</f>
        <v>0</v>
      </c>
      <c r="AL37" s="123">
        <f>VLOOKUP($AD37,'Dummy Table'!$B$4:$F$40,5,FALSE)</f>
        <v>6</v>
      </c>
      <c r="AM37" s="123" t="s">
        <v>44</v>
      </c>
      <c r="AN37" s="123">
        <f>VLOOKUP($AD37,'Dummy Table'!$B$4:$G$40,6,FALSE)</f>
        <v>4</v>
      </c>
      <c r="AO37" s="123">
        <f>AL37-AN37</f>
        <v>2</v>
      </c>
      <c r="AP37" s="123">
        <f>AI37*3+AJ37*1</f>
        <v>5</v>
      </c>
      <c r="AQ37" s="108"/>
      <c r="AR37" s="24"/>
      <c r="AS37" s="13"/>
      <c r="DK37" s="19"/>
      <c r="DL37" s="25"/>
      <c r="DM37" s="26"/>
      <c r="DN37" s="19"/>
    </row>
    <row r="38" spans="2:118" s="20" customFormat="1" ht="18" customHeight="1" x14ac:dyDescent="0.25">
      <c r="B38" s="21"/>
      <c r="C38" s="21"/>
      <c r="D38" s="23">
        <v>26</v>
      </c>
      <c r="E38" s="23" t="s">
        <v>22</v>
      </c>
      <c r="F38" s="42">
        <f t="shared" si="0"/>
        <v>42540.875</v>
      </c>
      <c r="G38" s="27">
        <f>'Countries and Timezone'!R27</f>
        <v>42540.875</v>
      </c>
      <c r="H38" s="28" t="str">
        <f>INDEX(Language!$A$1:$AW$115,MATCH('Countries and Timezone'!$AG$10,Language!$B$1:$B$112,0),MATCH($H$3,Language!$A$1:$AW$1,0))</f>
        <v>Schweiz</v>
      </c>
      <c r="I38" s="22"/>
      <c r="J38" s="29">
        <v>0</v>
      </c>
      <c r="K38" s="50" t="s">
        <v>44</v>
      </c>
      <c r="L38" s="29">
        <v>0</v>
      </c>
      <c r="M38" s="22"/>
      <c r="N38" s="22" t="str">
        <f>INDEX(Language!$A$1:$AW$115,MATCH('Countries and Timezone'!$AG$7,Language!$B$1:$B$112,0),MATCH($H$3,Language!$A$1:$AW$1,0))</f>
        <v>Frankreich</v>
      </c>
      <c r="O38" s="22"/>
      <c r="P38" s="22"/>
      <c r="Q38" s="22"/>
      <c r="R38" s="22" t="s">
        <v>438</v>
      </c>
      <c r="S38" s="22"/>
      <c r="T38" s="22"/>
      <c r="U38" s="22"/>
      <c r="V38" s="22"/>
      <c r="W38" s="22"/>
      <c r="X38" s="22"/>
      <c r="Y38" s="22"/>
      <c r="Z38" s="22"/>
      <c r="AA38" s="24"/>
      <c r="AB38" s="1"/>
      <c r="AC38" s="124"/>
      <c r="AD38" s="236" t="str">
        <f>VLOOKUP(2,'Dummy Table'!$A$37:$B$41,2,FALSE)</f>
        <v>Island</v>
      </c>
      <c r="AE38" s="236"/>
      <c r="AF38" s="236"/>
      <c r="AG38" s="236"/>
      <c r="AH38" s="135">
        <f>SUM(AI38:AK38)</f>
        <v>3</v>
      </c>
      <c r="AI38" s="135">
        <f>VLOOKUP($AD38,'Dummy Table'!$B$4:$C$40,2,FALSE)</f>
        <v>1</v>
      </c>
      <c r="AJ38" s="135">
        <f>VLOOKUP($AD38,'Dummy Table'!$B$4:$D$40,3,FALSE)</f>
        <v>2</v>
      </c>
      <c r="AK38" s="135">
        <f>VLOOKUP($AD38,'Dummy Table'!$B$4:$E$40,4,FALSE)</f>
        <v>0</v>
      </c>
      <c r="AL38" s="135">
        <f>VLOOKUP($AD38,'Dummy Table'!$B$4:$F$40,5,FALSE)</f>
        <v>4</v>
      </c>
      <c r="AM38" s="135" t="s">
        <v>44</v>
      </c>
      <c r="AN38" s="135">
        <f>VLOOKUP($AD38,'Dummy Table'!$B$4:$G$40,6,FALSE)</f>
        <v>3</v>
      </c>
      <c r="AO38" s="135">
        <f>AL38-AN38</f>
        <v>1</v>
      </c>
      <c r="AP38" s="135">
        <f>AI38*3+AJ38*1</f>
        <v>5</v>
      </c>
      <c r="AQ38" s="108"/>
      <c r="AR38" s="24"/>
      <c r="AS38" s="13"/>
      <c r="DK38" s="19"/>
      <c r="DL38" s="30"/>
      <c r="DM38" s="26"/>
      <c r="DN38" s="19"/>
    </row>
    <row r="39" spans="2:118" s="20" customFormat="1" ht="18" customHeight="1" x14ac:dyDescent="0.25">
      <c r="B39" s="21"/>
      <c r="C39" s="21"/>
      <c r="D39" s="23">
        <v>27</v>
      </c>
      <c r="E39" s="23" t="s">
        <v>9</v>
      </c>
      <c r="F39" s="42">
        <f t="shared" si="0"/>
        <v>42541.875</v>
      </c>
      <c r="G39" s="27">
        <f>'Countries and Timezone'!R28</f>
        <v>42541.875</v>
      </c>
      <c r="H39" s="28" t="str">
        <f>INDEX(Language!$A$1:$AW$115,MATCH('Countries and Timezone'!$AG$12,Language!$B$1:$B$112,0),MATCH($H$3,Language!$A$1:$AW$1,0))</f>
        <v>Russland</v>
      </c>
      <c r="I39" s="22"/>
      <c r="J39" s="29">
        <v>0</v>
      </c>
      <c r="K39" s="50" t="s">
        <v>44</v>
      </c>
      <c r="L39" s="29">
        <v>3</v>
      </c>
      <c r="M39" s="22"/>
      <c r="N39" s="22" t="str">
        <f>INDEX(Language!$A$1:$AW$115,MATCH('Countries and Timezone'!$AG$13,Language!$B$1:$B$112,0),MATCH($H$3,Language!$A$1:$AW$1,0))</f>
        <v>Wales</v>
      </c>
      <c r="O39" s="22"/>
      <c r="P39" s="22"/>
      <c r="Q39" s="22"/>
      <c r="R39" s="22" t="s">
        <v>439</v>
      </c>
      <c r="S39" s="22"/>
      <c r="T39" s="22"/>
      <c r="U39" s="22"/>
      <c r="V39" s="22"/>
      <c r="W39" s="22"/>
      <c r="X39" s="22"/>
      <c r="Y39" s="22"/>
      <c r="Z39" s="22"/>
      <c r="AA39" s="24"/>
      <c r="AB39" s="1"/>
      <c r="AC39" s="125"/>
      <c r="AD39" s="235" t="str">
        <f>VLOOKUP(3,'Dummy Table'!$A$37:$B$41,2,FALSE)</f>
        <v>Portugal</v>
      </c>
      <c r="AE39" s="235"/>
      <c r="AF39" s="235"/>
      <c r="AG39" s="235"/>
      <c r="AH39" s="126">
        <f>SUM(AI39:AK39)</f>
        <v>3</v>
      </c>
      <c r="AI39" s="126">
        <f>VLOOKUP($AD39,'Dummy Table'!$B$4:$C$40,2,FALSE)</f>
        <v>0</v>
      </c>
      <c r="AJ39" s="126">
        <f>VLOOKUP($AD39,'Dummy Table'!$B$4:$D$40,3,FALSE)</f>
        <v>3</v>
      </c>
      <c r="AK39" s="126">
        <f>VLOOKUP($AD39,'Dummy Table'!$B$4:$E$40,4,FALSE)</f>
        <v>0</v>
      </c>
      <c r="AL39" s="126">
        <f>VLOOKUP($AD39,'Dummy Table'!$B$4:$F$40,5,FALSE)</f>
        <v>4</v>
      </c>
      <c r="AM39" s="126" t="s">
        <v>44</v>
      </c>
      <c r="AN39" s="126">
        <f>VLOOKUP($AD39,'Dummy Table'!$B$4:$G$40,6,FALSE)</f>
        <v>4</v>
      </c>
      <c r="AO39" s="126">
        <f>AL39-AN39</f>
        <v>0</v>
      </c>
      <c r="AP39" s="126">
        <f>AI39*3+AJ39*1</f>
        <v>3</v>
      </c>
      <c r="AQ39" s="108"/>
      <c r="AR39" s="24"/>
      <c r="AS39" s="13"/>
      <c r="DK39" s="19"/>
      <c r="DL39" s="30"/>
      <c r="DM39" s="26"/>
      <c r="DN39" s="19"/>
    </row>
    <row r="40" spans="2:118" s="20" customFormat="1" ht="18" customHeight="1" x14ac:dyDescent="0.25">
      <c r="B40" s="21"/>
      <c r="C40" s="21"/>
      <c r="D40" s="23">
        <v>28</v>
      </c>
      <c r="E40" s="23" t="s">
        <v>9</v>
      </c>
      <c r="F40" s="42">
        <f t="shared" si="0"/>
        <v>42541.875</v>
      </c>
      <c r="G40" s="27">
        <f>'Countries and Timezone'!R29</f>
        <v>42541.875</v>
      </c>
      <c r="H40" s="28" t="str">
        <f>INDEX(Language!$A$1:$AW$115,MATCH('Countries and Timezone'!$AG$14,Language!$B$1:$B$112,0),MATCH($H$3,Language!$A$1:$AW$1,0))</f>
        <v>Slowakei</v>
      </c>
      <c r="I40" s="22"/>
      <c r="J40" s="29">
        <v>0</v>
      </c>
      <c r="K40" s="50" t="s">
        <v>44</v>
      </c>
      <c r="L40" s="29">
        <v>0</v>
      </c>
      <c r="M40" s="22"/>
      <c r="N40" s="22" t="str">
        <f>INDEX(Language!$A$1:$AW$115,MATCH('Countries and Timezone'!$AG$11,Language!$B$1:$B$112,0),MATCH($H$3,Language!$A$1:$AW$1,0))</f>
        <v>England</v>
      </c>
      <c r="O40" s="22"/>
      <c r="P40" s="22"/>
      <c r="Q40" s="22"/>
      <c r="R40" s="22" t="s">
        <v>441</v>
      </c>
      <c r="S40" s="22"/>
      <c r="T40" s="22"/>
      <c r="U40" s="22"/>
      <c r="V40" s="22"/>
      <c r="W40" s="22"/>
      <c r="X40" s="22"/>
      <c r="Y40" s="22"/>
      <c r="Z40" s="22"/>
      <c r="AA40" s="24"/>
      <c r="AB40" s="1"/>
      <c r="AC40" s="62"/>
      <c r="AD40" s="241" t="str">
        <f>VLOOKUP(4,'Dummy Table'!$A$37:$B$41,2,FALSE)</f>
        <v>Österreich</v>
      </c>
      <c r="AE40" s="241"/>
      <c r="AF40" s="241"/>
      <c r="AG40" s="241"/>
      <c r="AH40" s="23">
        <f>SUM(AI40:AK40)</f>
        <v>3</v>
      </c>
      <c r="AI40" s="23">
        <f>VLOOKUP($AD40,'Dummy Table'!$B$4:$C$40,2,FALSE)</f>
        <v>0</v>
      </c>
      <c r="AJ40" s="23">
        <f>VLOOKUP($AD40,'Dummy Table'!$B$4:$D$40,3,FALSE)</f>
        <v>1</v>
      </c>
      <c r="AK40" s="23">
        <f>VLOOKUP($AD40,'Dummy Table'!$B$4:$E$40,4,FALSE)</f>
        <v>2</v>
      </c>
      <c r="AL40" s="23">
        <f>VLOOKUP($AD40,'Dummy Table'!$B$4:$F$40,5,FALSE)</f>
        <v>1</v>
      </c>
      <c r="AM40" s="23" t="s">
        <v>44</v>
      </c>
      <c r="AN40" s="23">
        <f>VLOOKUP($AD40,'Dummy Table'!$B$4:$G$40,6,FALSE)</f>
        <v>4</v>
      </c>
      <c r="AO40" s="23">
        <f>AL40-AN40</f>
        <v>-3</v>
      </c>
      <c r="AP40" s="23">
        <f>AI40*3+AJ40*1</f>
        <v>1</v>
      </c>
      <c r="AQ40" s="108"/>
      <c r="AR40" s="24"/>
      <c r="AS40" s="13"/>
      <c r="DK40" s="19"/>
      <c r="DL40" s="19"/>
      <c r="DM40" s="26"/>
      <c r="DN40" s="19"/>
    </row>
    <row r="41" spans="2:118" s="20" customFormat="1" ht="18" customHeight="1" x14ac:dyDescent="0.25">
      <c r="B41" s="21"/>
      <c r="C41" s="21"/>
      <c r="D41" s="23">
        <v>29</v>
      </c>
      <c r="E41" s="23" t="s">
        <v>10</v>
      </c>
      <c r="F41" s="42">
        <f t="shared" si="0"/>
        <v>42542.75</v>
      </c>
      <c r="G41" s="27">
        <f>'Countries and Timezone'!R30</f>
        <v>42542.75</v>
      </c>
      <c r="H41" s="28" t="str">
        <f>INDEX(Language!$A$1:$AW$115,MATCH('Countries and Timezone'!$AG$16,Language!$B$1:$B$112,0),MATCH($H$3,Language!$A$1:$AW$1,0))</f>
        <v>Ukraine</v>
      </c>
      <c r="I41" s="22"/>
      <c r="J41" s="29">
        <v>0</v>
      </c>
      <c r="K41" s="50" t="s">
        <v>44</v>
      </c>
      <c r="L41" s="29">
        <v>1</v>
      </c>
      <c r="M41" s="22"/>
      <c r="N41" s="22" t="str">
        <f>INDEX(Language!$A$1:$AW$115,MATCH('Countries and Timezone'!$AG$17,Language!$B$1:$B$112,0),MATCH($H$3,Language!$A$1:$AW$1,0))</f>
        <v>Polen</v>
      </c>
      <c r="O41" s="22"/>
      <c r="P41" s="22"/>
      <c r="Q41" s="22"/>
      <c r="R41" s="22" t="s">
        <v>435</v>
      </c>
      <c r="S41" s="22"/>
      <c r="T41" s="22"/>
      <c r="U41" s="22"/>
      <c r="V41" s="22"/>
      <c r="W41" s="22"/>
      <c r="X41" s="22"/>
      <c r="Y41" s="22"/>
      <c r="Z41" s="22"/>
      <c r="AA41" s="24"/>
      <c r="AB41" s="1"/>
      <c r="AR41" s="24"/>
      <c r="AS41" s="13"/>
      <c r="DK41" s="19"/>
      <c r="DL41" s="19"/>
      <c r="DM41" s="26"/>
      <c r="DN41" s="19"/>
    </row>
    <row r="42" spans="2:118" s="20" customFormat="1" ht="18" customHeight="1" x14ac:dyDescent="0.25">
      <c r="B42" s="21"/>
      <c r="C42" s="21"/>
      <c r="D42" s="23">
        <v>30</v>
      </c>
      <c r="E42" s="23" t="s">
        <v>10</v>
      </c>
      <c r="F42" s="42">
        <f t="shared" si="0"/>
        <v>42542.75</v>
      </c>
      <c r="G42" s="27">
        <f>'Countries and Timezone'!R31</f>
        <v>42542.75</v>
      </c>
      <c r="H42" s="28" t="str">
        <f>INDEX(Language!$A$1:$AW$115,MATCH('Countries and Timezone'!$AG$18,Language!$B$1:$B$112,0),MATCH($H$3,Language!$A$1:$AW$1,0))</f>
        <v>Nordirland</v>
      </c>
      <c r="I42" s="22"/>
      <c r="J42" s="29">
        <v>0</v>
      </c>
      <c r="K42" s="50" t="s">
        <v>44</v>
      </c>
      <c r="L42" s="29">
        <v>1</v>
      </c>
      <c r="M42" s="22"/>
      <c r="N42" s="22" t="str">
        <f>INDEX(Language!$A$1:$AW$115,MATCH('Countries and Timezone'!$AG$15,Language!$B$1:$B$112,0),MATCH($H$3,Language!$A$1:$AW$1,0))</f>
        <v>Deutschland</v>
      </c>
      <c r="O42" s="22"/>
      <c r="P42" s="22"/>
      <c r="Q42" s="22"/>
      <c r="R42" s="22" t="s">
        <v>436</v>
      </c>
      <c r="S42" s="22"/>
      <c r="T42" s="22"/>
      <c r="U42" s="22"/>
      <c r="V42" s="22"/>
      <c r="W42" s="22"/>
      <c r="X42" s="22"/>
      <c r="Y42" s="22"/>
      <c r="Z42" s="22"/>
      <c r="AA42" s="24"/>
      <c r="AB42" s="1"/>
      <c r="AC42" s="144" t="str">
        <f>INDEX(Language!$A$1:$AX$115,MATCH("Group A-F 3rd Place Standings",Language!$B$1:$B$112,0),MATCH($H$3,Language!$A$1:$AW$1,0))</f>
        <v>Gruppe A-F Dritter Platz Entwicklung</v>
      </c>
      <c r="AD42" s="133"/>
      <c r="AE42" s="133"/>
      <c r="AF42" s="133"/>
      <c r="AG42" s="133"/>
      <c r="AH42" s="133"/>
      <c r="AI42" s="134"/>
      <c r="AJ42" s="133"/>
      <c r="AK42" s="133"/>
      <c r="AL42" s="133"/>
      <c r="AM42" s="133"/>
      <c r="AN42" s="133"/>
      <c r="AO42" s="133"/>
      <c r="AP42" s="133"/>
      <c r="AQ42" s="132"/>
      <c r="AR42" s="24"/>
      <c r="AS42" s="13"/>
      <c r="DK42" s="19"/>
      <c r="DL42" s="19"/>
      <c r="DM42" s="26"/>
      <c r="DN42" s="19"/>
    </row>
    <row r="43" spans="2:118" s="20" customFormat="1" ht="18" customHeight="1" x14ac:dyDescent="0.25">
      <c r="B43" s="21"/>
      <c r="C43" s="21"/>
      <c r="D43" s="23">
        <v>31</v>
      </c>
      <c r="E43" s="23" t="s">
        <v>20</v>
      </c>
      <c r="F43" s="42">
        <f t="shared" si="0"/>
        <v>42542.875</v>
      </c>
      <c r="G43" s="27">
        <f>'Countries and Timezone'!R32</f>
        <v>42542.875</v>
      </c>
      <c r="H43" s="28" t="str">
        <f>INDEX(Language!$A$1:$AW$115,MATCH('Countries and Timezone'!$AG$20,Language!$B$1:$B$112,0),MATCH($H$3,Language!$A$1:$AW$1,0))</f>
        <v>Tschechien</v>
      </c>
      <c r="I43" s="22"/>
      <c r="J43" s="29">
        <v>0</v>
      </c>
      <c r="K43" s="50" t="s">
        <v>44</v>
      </c>
      <c r="L43" s="29">
        <v>2</v>
      </c>
      <c r="M43" s="22"/>
      <c r="N43" s="22" t="str">
        <f>INDEX(Language!$A$1:$AW$115,MATCH('Countries and Timezone'!$AG$21,Language!$B$1:$B$112,0),MATCH($H$3,Language!$A$1:$AW$1,0))</f>
        <v>Truthahn</v>
      </c>
      <c r="O43" s="22"/>
      <c r="P43" s="22"/>
      <c r="Q43" s="22"/>
      <c r="R43" s="22" t="s">
        <v>433</v>
      </c>
      <c r="S43" s="22"/>
      <c r="T43" s="22"/>
      <c r="U43" s="22"/>
      <c r="V43" s="22"/>
      <c r="W43" s="22"/>
      <c r="X43" s="22"/>
      <c r="Y43" s="22"/>
      <c r="Z43" s="22"/>
      <c r="AA43" s="24"/>
      <c r="AB43" s="1"/>
      <c r="AC43" s="116"/>
      <c r="AD43" s="117" t="str">
        <f>INDEX(Language!$A$1:$AX$115,MATCH("Country",Language!$B$1:$B$112,0),MATCH($H$3,Language!$A$1:$AW$1,0))</f>
        <v>Land</v>
      </c>
      <c r="AE43" s="116"/>
      <c r="AF43" s="116"/>
      <c r="AG43" s="116"/>
      <c r="AH43" s="118" t="s">
        <v>0</v>
      </c>
      <c r="AI43" s="118" t="s">
        <v>19</v>
      </c>
      <c r="AJ43" s="143" t="s">
        <v>20</v>
      </c>
      <c r="AK43" s="118" t="s">
        <v>21</v>
      </c>
      <c r="AL43" s="118" t="s">
        <v>219</v>
      </c>
      <c r="AM43" s="118"/>
      <c r="AN43" s="143" t="s">
        <v>22</v>
      </c>
      <c r="AO43" s="143" t="s">
        <v>444</v>
      </c>
      <c r="AP43" s="143" t="s">
        <v>62</v>
      </c>
      <c r="AQ43" s="118" t="s">
        <v>228</v>
      </c>
      <c r="AR43" s="24"/>
      <c r="AS43" s="13"/>
      <c r="DK43" s="19"/>
      <c r="DL43" s="19"/>
      <c r="DM43" s="26"/>
      <c r="DN43" s="19"/>
    </row>
    <row r="44" spans="2:118" s="20" customFormat="1" ht="18" customHeight="1" x14ac:dyDescent="0.25">
      <c r="B44" s="21"/>
      <c r="C44" s="21"/>
      <c r="D44" s="23">
        <v>32</v>
      </c>
      <c r="E44" s="23" t="s">
        <v>20</v>
      </c>
      <c r="F44" s="42">
        <f t="shared" si="0"/>
        <v>42542.875</v>
      </c>
      <c r="G44" s="27">
        <f>'Countries and Timezone'!R33</f>
        <v>42542.875</v>
      </c>
      <c r="H44" s="28" t="str">
        <f>INDEX(Language!$A$1:$AW$115,MATCH('Countries and Timezone'!$AG$22,Language!$B$1:$B$112,0),MATCH($H$3,Language!$A$1:$AW$1,0))</f>
        <v>Kroatien</v>
      </c>
      <c r="I44" s="22"/>
      <c r="J44" s="29">
        <v>2</v>
      </c>
      <c r="K44" s="50" t="s">
        <v>44</v>
      </c>
      <c r="L44" s="29">
        <v>1</v>
      </c>
      <c r="M44" s="22"/>
      <c r="N44" s="22" t="str">
        <f>INDEX(Language!$A$1:$AW$115,MATCH('Countries and Timezone'!$AG$19,Language!$B$1:$B$112,0),MATCH($H$3,Language!$A$1:$AW$1,0))</f>
        <v>Spanien</v>
      </c>
      <c r="O44" s="22"/>
      <c r="P44" s="22"/>
      <c r="Q44" s="22"/>
      <c r="R44" s="22" t="s">
        <v>434</v>
      </c>
      <c r="S44" s="22"/>
      <c r="T44" s="22"/>
      <c r="U44" s="22"/>
      <c r="V44" s="22"/>
      <c r="W44" s="22"/>
      <c r="X44" s="22"/>
      <c r="Y44" s="22"/>
      <c r="Z44" s="22"/>
      <c r="AA44" s="24"/>
      <c r="AB44" s="1"/>
      <c r="AC44" s="119">
        <v>1</v>
      </c>
      <c r="AD44" s="140" t="str">
        <f>INDEX('Dummy Table'!$DH$3:$DH$8,MATCH(Tournament!AC44,'Dummy Table'!$DU$3:$DU$8,0),0)</f>
        <v>Slowakei</v>
      </c>
      <c r="AE44" s="140"/>
      <c r="AF44" s="140"/>
      <c r="AG44" s="140"/>
      <c r="AH44" s="119">
        <f t="shared" ref="AH44:AH49" si="1">VLOOKUP($AD44,$AD$12:$AP$40,5,FALSE)</f>
        <v>3</v>
      </c>
      <c r="AI44" s="119">
        <f t="shared" ref="AI44:AI49" si="2">VLOOKUP($AD44,$AD$12:$AP$40,6,FALSE)</f>
        <v>1</v>
      </c>
      <c r="AJ44" s="119">
        <f t="shared" ref="AJ44:AJ49" si="3">VLOOKUP($AD44,$AD$12:$AP$40,7,FALSE)</f>
        <v>1</v>
      </c>
      <c r="AK44" s="119">
        <f t="shared" ref="AK44:AK49" si="4">VLOOKUP($AD44,$AD$12:$AP$40,8,FALSE)</f>
        <v>1</v>
      </c>
      <c r="AL44" s="119">
        <f t="shared" ref="AL44:AL49" si="5">VLOOKUP($AD44,$AD$12:$AP$40,9,FALSE)</f>
        <v>3</v>
      </c>
      <c r="AM44" s="119" t="s">
        <v>44</v>
      </c>
      <c r="AN44" s="119">
        <f t="shared" ref="AN44:AN49" si="6">VLOOKUP($AD44,$AD$12:$AP$40,11,FALSE)</f>
        <v>3</v>
      </c>
      <c r="AO44" s="119">
        <f t="shared" ref="AO44:AO49" si="7">VLOOKUP($AD44,$AD$12:$AP$40,12,FALSE)</f>
        <v>0</v>
      </c>
      <c r="AP44" s="119">
        <f t="shared" ref="AP44:AP49" si="8">VLOOKUP($AD44,$AD$12:$AP$40,13,FALSE)</f>
        <v>4</v>
      </c>
      <c r="AQ44" s="136" t="str">
        <f>INDEX('Dummy Table'!$DV$3:$DV$8,MATCH(Tournament!AC44,'Dummy Table'!$DU$3:$DU$8,0),0)</f>
        <v>B</v>
      </c>
      <c r="AR44" s="24"/>
      <c r="AS44" s="13"/>
      <c r="DK44" s="19"/>
      <c r="DL44" s="19"/>
      <c r="DM44" s="26"/>
      <c r="DN44" s="19"/>
    </row>
    <row r="45" spans="2:118" s="20" customFormat="1" ht="18" customHeight="1" x14ac:dyDescent="0.25">
      <c r="B45" s="21"/>
      <c r="C45" s="21"/>
      <c r="D45" s="23">
        <v>33</v>
      </c>
      <c r="E45" s="23" t="s">
        <v>219</v>
      </c>
      <c r="F45" s="42">
        <f t="shared" si="0"/>
        <v>42543.75</v>
      </c>
      <c r="G45" s="27">
        <f>'Countries and Timezone'!R34</f>
        <v>42543.75</v>
      </c>
      <c r="H45" s="28" t="str">
        <f>INDEX(Language!$A$1:$AW$115,MATCH('Countries and Timezone'!$AG$28,Language!$B$1:$B$112,0),MATCH($H$3,Language!$A$1:$AW$1,0))</f>
        <v>Island</v>
      </c>
      <c r="I45" s="22"/>
      <c r="J45" s="29">
        <v>2</v>
      </c>
      <c r="K45" s="50" t="s">
        <v>44</v>
      </c>
      <c r="L45" s="29">
        <v>1</v>
      </c>
      <c r="M45" s="22"/>
      <c r="N45" s="22" t="str">
        <f>INDEX(Language!$A$1:$AW$115,MATCH('Countries and Timezone'!$AG$29,Language!$B$1:$B$112,0),MATCH($H$3,Language!$A$1:$AW$1,0))</f>
        <v>Österreich</v>
      </c>
      <c r="O45" s="22"/>
      <c r="P45" s="22"/>
      <c r="Q45" s="22"/>
      <c r="R45" s="22" t="s">
        <v>432</v>
      </c>
      <c r="S45" s="22"/>
      <c r="T45" s="22"/>
      <c r="U45" s="22"/>
      <c r="V45" s="22"/>
      <c r="W45" s="22"/>
      <c r="X45" s="22"/>
      <c r="Y45" s="22"/>
      <c r="Z45" s="22"/>
      <c r="AA45" s="24"/>
      <c r="AB45" s="1"/>
      <c r="AC45" s="120">
        <v>2</v>
      </c>
      <c r="AD45" s="139" t="str">
        <f>INDEX('Dummy Table'!$DH$3:$DH$8,MATCH(Tournament!AC45,'Dummy Table'!$DU$3:$DU$8,0),0)</f>
        <v>Irische Republik</v>
      </c>
      <c r="AE45" s="139"/>
      <c r="AF45" s="139"/>
      <c r="AG45" s="139"/>
      <c r="AH45" s="120">
        <f t="shared" si="1"/>
        <v>3</v>
      </c>
      <c r="AI45" s="120">
        <f t="shared" si="2"/>
        <v>1</v>
      </c>
      <c r="AJ45" s="120">
        <f t="shared" si="3"/>
        <v>1</v>
      </c>
      <c r="AK45" s="120">
        <f t="shared" si="4"/>
        <v>1</v>
      </c>
      <c r="AL45" s="120">
        <f t="shared" si="5"/>
        <v>2</v>
      </c>
      <c r="AM45" s="120" t="s">
        <v>44</v>
      </c>
      <c r="AN45" s="120">
        <f t="shared" si="6"/>
        <v>4</v>
      </c>
      <c r="AO45" s="120">
        <f t="shared" si="7"/>
        <v>-2</v>
      </c>
      <c r="AP45" s="120">
        <f t="shared" si="8"/>
        <v>4</v>
      </c>
      <c r="AQ45" s="137" t="str">
        <f>INDEX('Dummy Table'!$DV$3:$DV$8,MATCH(Tournament!AC45,'Dummy Table'!$DU$3:$DU$8,0),0)</f>
        <v>E</v>
      </c>
      <c r="AR45" s="24"/>
      <c r="AS45" s="13"/>
      <c r="DK45" s="19"/>
      <c r="DL45" s="19"/>
      <c r="DM45" s="26"/>
      <c r="DN45" s="19"/>
    </row>
    <row r="46" spans="2:118" s="20" customFormat="1" ht="18" customHeight="1" x14ac:dyDescent="0.25">
      <c r="B46" s="21"/>
      <c r="C46" s="21"/>
      <c r="D46" s="23">
        <v>34</v>
      </c>
      <c r="E46" s="23" t="s">
        <v>219</v>
      </c>
      <c r="F46" s="42">
        <f t="shared" si="0"/>
        <v>42543.75</v>
      </c>
      <c r="G46" s="27">
        <f>'Countries and Timezone'!R35</f>
        <v>42543.75</v>
      </c>
      <c r="H46" s="28" t="str">
        <f>INDEX(Language!$A$1:$AW$115,MATCH('Countries and Timezone'!$AG$30,Language!$B$1:$B$112,0),MATCH($H$3,Language!$A$1:$AW$1,0))</f>
        <v>Ungarn</v>
      </c>
      <c r="I46" s="22"/>
      <c r="J46" s="29">
        <v>3</v>
      </c>
      <c r="K46" s="50" t="s">
        <v>44</v>
      </c>
      <c r="L46" s="29">
        <v>3</v>
      </c>
      <c r="M46" s="22"/>
      <c r="N46" s="22" t="str">
        <f>INDEX(Language!$A$1:$AW$115,MATCH('Countries and Timezone'!$AG$27,Language!$B$1:$B$112,0),MATCH($H$3,Language!$A$1:$AW$1,0))</f>
        <v>Portugal</v>
      </c>
      <c r="O46" s="22"/>
      <c r="P46" s="22"/>
      <c r="Q46" s="22"/>
      <c r="R46" s="22" t="s">
        <v>440</v>
      </c>
      <c r="S46" s="22"/>
      <c r="T46" s="22"/>
      <c r="U46" s="22"/>
      <c r="V46" s="22"/>
      <c r="W46" s="22"/>
      <c r="X46" s="22"/>
      <c r="Y46" s="22"/>
      <c r="Z46" s="22"/>
      <c r="AA46" s="24"/>
      <c r="AB46" s="1"/>
      <c r="AC46" s="120">
        <v>3</v>
      </c>
      <c r="AD46" s="139" t="str">
        <f>INDEX('Dummy Table'!$DH$3:$DH$8,MATCH(Tournament!AC46,'Dummy Table'!$DU$3:$DU$8,0),0)</f>
        <v>Portugal</v>
      </c>
      <c r="AE46" s="139"/>
      <c r="AF46" s="139"/>
      <c r="AG46" s="139"/>
      <c r="AH46" s="120">
        <f t="shared" si="1"/>
        <v>3</v>
      </c>
      <c r="AI46" s="120">
        <f t="shared" si="2"/>
        <v>0</v>
      </c>
      <c r="AJ46" s="120">
        <f t="shared" si="3"/>
        <v>3</v>
      </c>
      <c r="AK46" s="120">
        <f t="shared" si="4"/>
        <v>0</v>
      </c>
      <c r="AL46" s="120">
        <f t="shared" si="5"/>
        <v>4</v>
      </c>
      <c r="AM46" s="120" t="s">
        <v>44</v>
      </c>
      <c r="AN46" s="120">
        <f t="shared" si="6"/>
        <v>4</v>
      </c>
      <c r="AO46" s="120">
        <f t="shared" si="7"/>
        <v>0</v>
      </c>
      <c r="AP46" s="120">
        <f t="shared" si="8"/>
        <v>3</v>
      </c>
      <c r="AQ46" s="137" t="str">
        <f>INDEX('Dummy Table'!$DV$3:$DV$8,MATCH(Tournament!AC46,'Dummy Table'!$DU$3:$DU$8,0),0)</f>
        <v>F</v>
      </c>
      <c r="AR46" s="24"/>
      <c r="AS46" s="13"/>
      <c r="DK46" s="19"/>
      <c r="DL46" s="19"/>
      <c r="DM46" s="26"/>
      <c r="DN46" s="19"/>
    </row>
    <row r="47" spans="2:118" s="20" customFormat="1" ht="18" customHeight="1" x14ac:dyDescent="0.25">
      <c r="B47" s="21"/>
      <c r="C47" s="21"/>
      <c r="D47" s="23">
        <v>35</v>
      </c>
      <c r="E47" s="23" t="s">
        <v>211</v>
      </c>
      <c r="F47" s="42">
        <f t="shared" si="0"/>
        <v>42543.875</v>
      </c>
      <c r="G47" s="27">
        <f>'Countries and Timezone'!R36</f>
        <v>42543.875</v>
      </c>
      <c r="H47" s="28" t="str">
        <f>INDEX(Language!$A$1:$AW$115,MATCH('Countries and Timezone'!$AG$24,Language!$B$1:$B$112,0),MATCH($H$3,Language!$A$1:$AW$1,0))</f>
        <v>Italien</v>
      </c>
      <c r="I47" s="22"/>
      <c r="J47" s="29">
        <v>0</v>
      </c>
      <c r="K47" s="50" t="s">
        <v>44</v>
      </c>
      <c r="L47" s="29">
        <v>1</v>
      </c>
      <c r="M47" s="22"/>
      <c r="N47" s="22" t="str">
        <f>INDEX(Language!$A$1:$AW$115,MATCH('Countries and Timezone'!$AG$25,Language!$B$1:$B$112,0),MATCH($H$3,Language!$A$1:$AW$1,0))</f>
        <v>Irische Republik</v>
      </c>
      <c r="O47" s="22"/>
      <c r="P47" s="22"/>
      <c r="Q47" s="22"/>
      <c r="R47" s="22" t="s">
        <v>438</v>
      </c>
      <c r="S47" s="22"/>
      <c r="T47" s="22"/>
      <c r="U47" s="22"/>
      <c r="V47" s="22"/>
      <c r="W47" s="22"/>
      <c r="X47" s="22"/>
      <c r="Y47" s="22"/>
      <c r="Z47" s="22"/>
      <c r="AA47" s="24"/>
      <c r="AB47" s="1"/>
      <c r="AC47" s="120">
        <v>4</v>
      </c>
      <c r="AD47" s="139" t="str">
        <f>INDEX('Dummy Table'!$DH$3:$DH$8,MATCH(Tournament!AC47,'Dummy Table'!$DU$3:$DU$8,0),0)</f>
        <v>Nordirland</v>
      </c>
      <c r="AE47" s="139"/>
      <c r="AF47" s="139"/>
      <c r="AG47" s="139"/>
      <c r="AH47" s="120">
        <f t="shared" si="1"/>
        <v>3</v>
      </c>
      <c r="AI47" s="120">
        <f t="shared" si="2"/>
        <v>1</v>
      </c>
      <c r="AJ47" s="120">
        <f t="shared" si="3"/>
        <v>0</v>
      </c>
      <c r="AK47" s="120">
        <f t="shared" si="4"/>
        <v>2</v>
      </c>
      <c r="AL47" s="120">
        <f t="shared" si="5"/>
        <v>2</v>
      </c>
      <c r="AM47" s="120" t="s">
        <v>44</v>
      </c>
      <c r="AN47" s="120">
        <f t="shared" si="6"/>
        <v>2</v>
      </c>
      <c r="AO47" s="120">
        <f t="shared" si="7"/>
        <v>0</v>
      </c>
      <c r="AP47" s="120">
        <f t="shared" si="8"/>
        <v>3</v>
      </c>
      <c r="AQ47" s="137" t="str">
        <f>INDEX('Dummy Table'!$DV$3:$DV$8,MATCH(Tournament!AC47,'Dummy Table'!$DU$3:$DU$8,0),0)</f>
        <v>C</v>
      </c>
      <c r="AR47" s="24"/>
      <c r="AS47" s="13"/>
      <c r="DK47" s="19"/>
      <c r="DL47" s="19"/>
      <c r="DM47" s="26"/>
      <c r="DN47" s="19"/>
    </row>
    <row r="48" spans="2:118" s="20" customFormat="1" ht="18" customHeight="1" x14ac:dyDescent="0.25">
      <c r="B48" s="21"/>
      <c r="C48" s="21"/>
      <c r="D48" s="23">
        <v>36</v>
      </c>
      <c r="E48" s="23" t="s">
        <v>211</v>
      </c>
      <c r="F48" s="42">
        <f t="shared" si="0"/>
        <v>42543.875</v>
      </c>
      <c r="G48" s="27">
        <f>'Countries and Timezone'!R37</f>
        <v>42543.875</v>
      </c>
      <c r="H48" s="28" t="str">
        <f>INDEX(Language!$A$1:$AW$115,MATCH('Countries and Timezone'!$AG$26,Language!$B$1:$B$112,0),MATCH($H$3,Language!$A$1:$AW$1,0))</f>
        <v>Schweden</v>
      </c>
      <c r="I48" s="22"/>
      <c r="J48" s="29">
        <v>0</v>
      </c>
      <c r="K48" s="50" t="s">
        <v>44</v>
      </c>
      <c r="L48" s="29">
        <v>1</v>
      </c>
      <c r="M48" s="22"/>
      <c r="N48" s="22" t="str">
        <f>INDEX(Language!$A$1:$AW$115,MATCH('Countries and Timezone'!$AG$23,Language!$B$1:$B$112,0),MATCH($H$3,Language!$A$1:$AW$1,0))</f>
        <v>Belgien</v>
      </c>
      <c r="O48" s="22"/>
      <c r="P48" s="22"/>
      <c r="Q48" s="22"/>
      <c r="R48" s="22" t="s">
        <v>437</v>
      </c>
      <c r="S48" s="22"/>
      <c r="T48" s="22"/>
      <c r="U48" s="22"/>
      <c r="V48" s="22"/>
      <c r="W48" s="22"/>
      <c r="X48" s="22"/>
      <c r="Y48" s="22"/>
      <c r="Z48" s="22"/>
      <c r="AA48" s="24"/>
      <c r="AB48" s="1"/>
      <c r="AC48" s="166">
        <v>5</v>
      </c>
      <c r="AD48" s="167" t="str">
        <f>INDEX('Dummy Table'!$DH$3:$DH$8,MATCH(Tournament!AC48,'Dummy Table'!$DU$3:$DU$8,0),0)</f>
        <v>Truthahn</v>
      </c>
      <c r="AE48" s="167"/>
      <c r="AF48" s="167"/>
      <c r="AG48" s="167"/>
      <c r="AH48" s="166">
        <f t="shared" si="1"/>
        <v>3</v>
      </c>
      <c r="AI48" s="166">
        <f t="shared" si="2"/>
        <v>1</v>
      </c>
      <c r="AJ48" s="166">
        <f t="shared" si="3"/>
        <v>0</v>
      </c>
      <c r="AK48" s="166">
        <f t="shared" si="4"/>
        <v>2</v>
      </c>
      <c r="AL48" s="166">
        <f t="shared" si="5"/>
        <v>2</v>
      </c>
      <c r="AM48" s="166" t="s">
        <v>44</v>
      </c>
      <c r="AN48" s="166">
        <f t="shared" si="6"/>
        <v>4</v>
      </c>
      <c r="AO48" s="166">
        <f t="shared" si="7"/>
        <v>-2</v>
      </c>
      <c r="AP48" s="166">
        <f t="shared" si="8"/>
        <v>3</v>
      </c>
      <c r="AQ48" s="166" t="str">
        <f>INDEX('Dummy Table'!$DV$3:$DV$8,MATCH(Tournament!AC48,'Dummy Table'!$DU$3:$DU$8,0),0)</f>
        <v>D</v>
      </c>
      <c r="AR48" s="24"/>
      <c r="AS48" s="13"/>
      <c r="DK48" s="19"/>
      <c r="DL48" s="19"/>
      <c r="DM48" s="26"/>
      <c r="DN48" s="19"/>
    </row>
    <row r="49" spans="2:118" s="20" customFormat="1" ht="18" customHeight="1" x14ac:dyDescent="0.25">
      <c r="B49" s="21"/>
      <c r="C49" s="32"/>
      <c r="D49" s="33"/>
      <c r="E49" s="33"/>
      <c r="F49" s="43"/>
      <c r="G49" s="33"/>
      <c r="H49" s="33"/>
      <c r="I49" s="33"/>
      <c r="J49" s="33"/>
      <c r="K49" s="33"/>
      <c r="L49" s="33"/>
      <c r="M49" s="33"/>
      <c r="N49" s="33"/>
      <c r="O49" s="33"/>
      <c r="P49" s="33"/>
      <c r="Q49" s="33"/>
      <c r="R49" s="33"/>
      <c r="S49" s="33"/>
      <c r="T49" s="33"/>
      <c r="U49" s="35"/>
      <c r="V49" s="33"/>
      <c r="W49" s="33"/>
      <c r="X49" s="33"/>
      <c r="Y49" s="33"/>
      <c r="Z49" s="33"/>
      <c r="AA49" s="34"/>
      <c r="AC49" s="166">
        <v>6</v>
      </c>
      <c r="AD49" s="245" t="str">
        <f>INDEX('Dummy Table'!$DH$3:$DH$8,MATCH(Tournament!AC49,'Dummy Table'!$DU$3:$DU$8,0),0)</f>
        <v>Albanien</v>
      </c>
      <c r="AE49" s="245"/>
      <c r="AF49" s="245"/>
      <c r="AG49" s="245"/>
      <c r="AH49" s="166">
        <f t="shared" si="1"/>
        <v>3</v>
      </c>
      <c r="AI49" s="166">
        <f t="shared" si="2"/>
        <v>1</v>
      </c>
      <c r="AJ49" s="166">
        <f t="shared" si="3"/>
        <v>0</v>
      </c>
      <c r="AK49" s="166">
        <f t="shared" si="4"/>
        <v>2</v>
      </c>
      <c r="AL49" s="166">
        <f t="shared" si="5"/>
        <v>1</v>
      </c>
      <c r="AM49" s="166" t="s">
        <v>44</v>
      </c>
      <c r="AN49" s="166">
        <f t="shared" si="6"/>
        <v>3</v>
      </c>
      <c r="AO49" s="166">
        <f t="shared" si="7"/>
        <v>-2</v>
      </c>
      <c r="AP49" s="166">
        <f t="shared" si="8"/>
        <v>3</v>
      </c>
      <c r="AQ49" s="166" t="str">
        <f>INDEX('Dummy Table'!$DV$3:$DV$8,MATCH(Tournament!AC49,'Dummy Table'!$DU$3:$DU$8,0),0)</f>
        <v>A</v>
      </c>
      <c r="AR49" s="24"/>
      <c r="AS49" s="13"/>
      <c r="DK49" s="19"/>
      <c r="DL49" s="19"/>
      <c r="DM49" s="26"/>
      <c r="DN49" s="19"/>
    </row>
    <row r="50" spans="2:118" s="20" customFormat="1" ht="18" customHeight="1" x14ac:dyDescent="0.25">
      <c r="B50" s="21"/>
      <c r="C50" s="22"/>
      <c r="D50" s="22"/>
      <c r="E50" s="22"/>
      <c r="F50" s="40"/>
      <c r="G50" s="22"/>
      <c r="H50" s="22"/>
      <c r="I50" s="22"/>
      <c r="J50" s="22"/>
      <c r="K50" s="22"/>
      <c r="L50" s="22"/>
      <c r="M50" s="22"/>
      <c r="N50" s="22"/>
      <c r="O50" s="22"/>
      <c r="P50" s="22"/>
      <c r="Q50" s="22"/>
      <c r="R50" s="22"/>
      <c r="S50" s="22"/>
      <c r="T50" s="22"/>
      <c r="U50" s="22"/>
      <c r="V50" s="22"/>
      <c r="W50" s="22"/>
      <c r="X50" s="22"/>
      <c r="Y50" s="22"/>
      <c r="Z50" s="22"/>
      <c r="AA50" s="22"/>
      <c r="AB50" s="22"/>
      <c r="AN50" s="22"/>
      <c r="AO50" s="22"/>
      <c r="AP50" s="31"/>
      <c r="AQ50" s="70"/>
      <c r="AR50" s="24"/>
      <c r="AS50" s="13"/>
      <c r="DH50" s="19"/>
      <c r="DI50" s="19"/>
      <c r="DJ50" s="26"/>
      <c r="DK50" s="19"/>
    </row>
    <row r="51" spans="2:118" s="20" customFormat="1" ht="18" customHeight="1" x14ac:dyDescent="0.25">
      <c r="B51" s="21"/>
      <c r="C51" s="246" t="str">
        <f>INDEX(Language!$A$1:$AX$115,MATCH("Knock Out Rounds",Language!$B$1:$B$112,0),MATCH($H$3,Language!$A$1:$AW$1,0))</f>
        <v>Knock Out Runden</v>
      </c>
      <c r="D51" s="246"/>
      <c r="E51" s="246"/>
      <c r="F51" s="40"/>
      <c r="G51" s="222" t="str">
        <f>INDEX(Language!$A$1:$AX$115,MATCH("Round of 16",Language!$B$1:$B$112,0),MATCH($H$3,Language!$A$1:$AW$1,0))</f>
        <v>Runde der letzten 16</v>
      </c>
      <c r="H51" s="223"/>
      <c r="I51" s="223"/>
      <c r="J51" s="223"/>
      <c r="K51" s="22"/>
      <c r="L51" s="22"/>
      <c r="M51" s="222" t="str">
        <f>INDEX(Language!$A$1:$AX$115,MATCH("Quarter Finals",Language!$B$1:$B$112,0),MATCH($H$3,Language!$A$1:$AW$1,0))</f>
        <v>Viertel Finale</v>
      </c>
      <c r="N51" s="223"/>
      <c r="O51" s="223"/>
      <c r="P51" s="223"/>
      <c r="Q51" s="22"/>
      <c r="R51" s="222" t="str">
        <f>INDEX(Language!$A$1:$AX$115,MATCH("Semi Finals",Language!$B$1:$B$112,0),MATCH($H$3,Language!$A$1:$AW$1,0))</f>
        <v>Semifinale</v>
      </c>
      <c r="S51" s="223"/>
      <c r="T51" s="223"/>
      <c r="U51" s="223"/>
      <c r="V51" s="223"/>
      <c r="W51" s="223"/>
      <c r="X51" s="223"/>
      <c r="Y51" s="223"/>
      <c r="Z51" s="223"/>
      <c r="AR51" s="24"/>
      <c r="AS51" s="13"/>
      <c r="DD51" s="19"/>
      <c r="DE51" s="19"/>
      <c r="DF51" s="26"/>
      <c r="DG51" s="19"/>
    </row>
    <row r="52" spans="2:118" s="20" customFormat="1" ht="18" customHeight="1" thickBot="1" x14ac:dyDescent="0.3">
      <c r="B52" s="21"/>
      <c r="C52" s="246"/>
      <c r="D52" s="246"/>
      <c r="E52" s="246"/>
      <c r="F52" s="40"/>
      <c r="G52" s="22"/>
      <c r="H52" s="22"/>
      <c r="I52" s="22"/>
      <c r="J52" s="22"/>
      <c r="K52" s="22"/>
      <c r="L52" s="22"/>
      <c r="M52" s="22"/>
      <c r="N52" s="22"/>
      <c r="O52" s="22"/>
      <c r="P52" s="22"/>
      <c r="Q52" s="22"/>
      <c r="R52" s="22"/>
      <c r="S52" s="22"/>
      <c r="T52" s="22"/>
      <c r="U52" s="22"/>
      <c r="V52" s="22"/>
      <c r="W52" s="22"/>
      <c r="X52" s="22"/>
      <c r="Y52" s="22"/>
      <c r="Z52" s="22"/>
      <c r="AA52" s="22"/>
      <c r="AR52" s="24"/>
      <c r="AS52" s="13"/>
      <c r="DD52" s="19"/>
      <c r="DE52" s="19"/>
      <c r="DF52" s="26"/>
      <c r="DG52" s="19"/>
    </row>
    <row r="53" spans="2:118" s="20" customFormat="1" ht="18" customHeight="1" thickBot="1" x14ac:dyDescent="0.25">
      <c r="B53" s="21"/>
      <c r="C53" s="246"/>
      <c r="D53" s="246"/>
      <c r="E53" s="246"/>
      <c r="F53" s="40"/>
      <c r="G53" s="54">
        <v>37</v>
      </c>
      <c r="H53" s="55">
        <f>'Countries and Timezone'!R38</f>
        <v>42546.625</v>
      </c>
      <c r="I53" s="22"/>
      <c r="J53" s="31"/>
      <c r="K53" s="22"/>
      <c r="L53" s="22"/>
      <c r="M53" s="22"/>
      <c r="N53" s="22"/>
      <c r="O53" s="22"/>
      <c r="P53" s="22"/>
      <c r="Q53" s="22"/>
      <c r="R53" s="22"/>
      <c r="S53" s="22"/>
      <c r="T53" s="22"/>
      <c r="U53" s="22"/>
      <c r="V53" s="22"/>
      <c r="W53" s="22"/>
      <c r="X53" s="22"/>
      <c r="Y53" s="22"/>
      <c r="Z53" s="22"/>
      <c r="AA53" s="22"/>
      <c r="AR53" s="24"/>
      <c r="DD53" s="19"/>
      <c r="DE53" s="19"/>
      <c r="DF53" s="25"/>
      <c r="DG53" s="19"/>
    </row>
    <row r="54" spans="2:118" s="20" customFormat="1" ht="18" customHeight="1" x14ac:dyDescent="0.2">
      <c r="B54" s="21"/>
      <c r="C54" s="246"/>
      <c r="D54" s="246"/>
      <c r="E54" s="246"/>
      <c r="F54" s="40"/>
      <c r="G54" s="62">
        <v>1</v>
      </c>
      <c r="H54" s="56" t="str">
        <f>IF(SUM(AH12:AH15)=12,AD13,INDEX(Language!$A$1:$AX$115,MATCH("Group A Runner Up",Language!$B$1:$B$112,0),MATCH($H$3,Language!$A$1:$AW$1,0)))</f>
        <v>Schweiz</v>
      </c>
      <c r="I54" s="74">
        <v>1</v>
      </c>
      <c r="J54" s="90">
        <v>4</v>
      </c>
      <c r="K54" s="22"/>
      <c r="L54" s="22"/>
      <c r="M54" s="22"/>
      <c r="N54" s="22"/>
      <c r="O54" s="22"/>
      <c r="P54" s="22"/>
      <c r="Q54" s="22"/>
      <c r="R54" s="22"/>
      <c r="S54" s="22"/>
      <c r="T54" s="22"/>
      <c r="U54" s="22"/>
      <c r="V54" s="22"/>
      <c r="W54" s="22"/>
      <c r="X54" s="22"/>
      <c r="Y54" s="22"/>
      <c r="Z54" s="22"/>
      <c r="AA54" s="22"/>
      <c r="AR54" s="24"/>
      <c r="DD54" s="19"/>
      <c r="DE54" s="19"/>
      <c r="DF54" s="25"/>
      <c r="DG54" s="19"/>
    </row>
    <row r="55" spans="2:118" s="20" customFormat="1" ht="18" customHeight="1" thickBot="1" x14ac:dyDescent="0.25">
      <c r="B55" s="21"/>
      <c r="C55" s="246"/>
      <c r="D55" s="246"/>
      <c r="E55" s="246"/>
      <c r="F55" s="40"/>
      <c r="G55" s="62">
        <v>3</v>
      </c>
      <c r="H55" s="61" t="str">
        <f>IF(SUM(AH22:AH25)=12,AD23,INDEX(Language!$A$1:$AX$115,MATCH("Group C Runner Up",Language!$B$1:$B$112,0),MATCH($H$3,Language!$A$1:$AW$1,0)))</f>
        <v>Polen</v>
      </c>
      <c r="I55" s="74">
        <v>1</v>
      </c>
      <c r="J55" s="29">
        <v>5</v>
      </c>
      <c r="K55" s="49"/>
      <c r="M55" s="22"/>
      <c r="N55" s="22"/>
      <c r="O55" s="22"/>
      <c r="P55" s="22"/>
      <c r="Q55" s="22"/>
      <c r="R55" s="22"/>
      <c r="S55" s="22"/>
      <c r="T55" s="22"/>
      <c r="U55" s="22"/>
      <c r="V55" s="22"/>
      <c r="W55" s="22"/>
      <c r="X55" s="22"/>
      <c r="Y55" s="22"/>
      <c r="Z55" s="22"/>
      <c r="AA55" s="22"/>
      <c r="AR55" s="24"/>
      <c r="DD55" s="19"/>
      <c r="DE55" s="19"/>
      <c r="DF55" s="25"/>
      <c r="DG55" s="19"/>
    </row>
    <row r="56" spans="2:118" s="20" customFormat="1" ht="18" customHeight="1" thickBot="1" x14ac:dyDescent="0.25">
      <c r="B56" s="21"/>
      <c r="C56" s="246"/>
      <c r="D56" s="246"/>
      <c r="E56" s="246"/>
      <c r="F56" s="40"/>
      <c r="G56" s="22"/>
      <c r="H56" s="220" t="s">
        <v>441</v>
      </c>
      <c r="I56" s="75"/>
      <c r="J56" s="76"/>
      <c r="K56" s="49"/>
      <c r="L56" s="22"/>
      <c r="M56" s="54">
        <v>45</v>
      </c>
      <c r="N56" s="55">
        <f>'Countries and Timezone'!R46</f>
        <v>42551.875</v>
      </c>
      <c r="O56" s="22"/>
      <c r="P56" s="22"/>
      <c r="Q56" s="22"/>
      <c r="R56" s="22"/>
      <c r="S56" s="22"/>
      <c r="T56" s="22"/>
      <c r="U56" s="22"/>
      <c r="V56" s="22"/>
      <c r="W56" s="22"/>
      <c r="X56" s="22"/>
      <c r="Y56" s="22"/>
      <c r="Z56" s="22"/>
      <c r="AA56" s="22"/>
      <c r="AR56" s="24"/>
      <c r="DD56" s="19"/>
      <c r="DE56" s="19"/>
      <c r="DF56" s="25"/>
      <c r="DG56" s="19"/>
    </row>
    <row r="57" spans="2:118" s="20" customFormat="1" ht="18" customHeight="1" x14ac:dyDescent="0.2">
      <c r="B57" s="21"/>
      <c r="C57" s="246"/>
      <c r="D57" s="246"/>
      <c r="E57" s="246"/>
      <c r="F57" s="40"/>
      <c r="G57" s="22"/>
      <c r="H57" s="221"/>
      <c r="I57" s="75"/>
      <c r="J57" s="76"/>
      <c r="K57" s="32"/>
      <c r="L57" s="33"/>
      <c r="M57" s="153">
        <f>IF(N57=H54,G54,IF(N57=H55,G55,""))</f>
        <v>3</v>
      </c>
      <c r="N57" s="147" t="str">
        <f>IF(AND(I54&lt;&gt;"",I55&lt;&gt;""),IF(I54&gt;I55,H54,IF(I54=I55,IF(J54&gt;J55,H54,IF(J55&gt;J54,H55,INDEX(Language!$A$1:$AX$115,MATCH("Match 37 Winner",Language!$B$1:$B$112,0),MATCH($H$3,Language!$A$1:$AW$1,0)))),H55)),INDEX(Language!$A$1:$AX$115,MATCH("Match 37 Winner",Language!$B$1:$B$112,0),MATCH($H$3,Language!$A$1:$AW$1,0)))</f>
        <v>Polen</v>
      </c>
      <c r="O57" s="74">
        <v>1</v>
      </c>
      <c r="P57" s="90">
        <v>3</v>
      </c>
      <c r="Q57" s="62" t="s">
        <v>4129</v>
      </c>
      <c r="R57" s="22"/>
      <c r="S57" s="22"/>
      <c r="T57" s="22"/>
      <c r="U57" s="22"/>
      <c r="V57" s="22"/>
      <c r="W57" s="22"/>
      <c r="X57" s="22"/>
      <c r="Y57" s="22"/>
      <c r="Z57" s="22"/>
      <c r="AA57" s="22"/>
      <c r="AR57" s="24"/>
      <c r="DD57" s="19"/>
      <c r="DE57" s="19"/>
      <c r="DF57" s="25"/>
      <c r="DG57" s="19"/>
    </row>
    <row r="58" spans="2:118" s="20" customFormat="1" ht="18" customHeight="1" thickBot="1" x14ac:dyDescent="0.25">
      <c r="B58" s="21"/>
      <c r="C58" s="246"/>
      <c r="D58" s="246"/>
      <c r="E58" s="246"/>
      <c r="F58" s="40"/>
      <c r="G58" s="22"/>
      <c r="H58" s="146"/>
      <c r="I58" s="75"/>
      <c r="J58" s="76"/>
      <c r="K58" s="21"/>
      <c r="L58" s="48"/>
      <c r="M58" s="62">
        <f>IF(N58=H60,G60,IF(N58=H61,G61,""))</f>
        <v>6</v>
      </c>
      <c r="N58" s="148" t="str">
        <f>IF(AND(I60&lt;&gt;"",I61&lt;&gt;""),IF(I60&gt;I61,H60,IF(I60=I61,IF(J60&gt;J61,H60,IF(J61&gt;J60,H61,INDEX(Language!$A$1:$AX$115,MATCH("Match 39 Winner",Language!$B$1:$B$112,0),MATCH($H$3,Language!$A$1:$AW$1,0)))),H61)),INDEX(Language!$A$1:$AX$115,MATCH("Match 39 Winner",Language!$B$1:$B$112,0),MATCH($H$3,Language!$A$1:$AW$1,0)))</f>
        <v>Portugal</v>
      </c>
      <c r="O58" s="74">
        <v>1</v>
      </c>
      <c r="P58" s="29">
        <v>5</v>
      </c>
      <c r="Q58" s="21"/>
      <c r="R58" s="22"/>
      <c r="S58" s="22"/>
      <c r="T58" s="22"/>
      <c r="U58" s="22"/>
      <c r="V58" s="22"/>
      <c r="W58" s="22"/>
      <c r="X58" s="22"/>
      <c r="Y58" s="22"/>
      <c r="Z58" s="22"/>
      <c r="AA58" s="22"/>
      <c r="AB58" s="22"/>
      <c r="AR58" s="24"/>
      <c r="DD58" s="19"/>
      <c r="DE58" s="19"/>
      <c r="DF58" s="25"/>
      <c r="DG58" s="19"/>
    </row>
    <row r="59" spans="2:118" s="20" customFormat="1" ht="18" customHeight="1" thickBot="1" x14ac:dyDescent="0.25">
      <c r="B59" s="21"/>
      <c r="C59" s="246"/>
      <c r="D59" s="246"/>
      <c r="E59" s="246"/>
      <c r="F59" s="40"/>
      <c r="G59" s="54">
        <v>39</v>
      </c>
      <c r="H59" s="55">
        <f>'Countries and Timezone'!R40</f>
        <v>42546.875</v>
      </c>
      <c r="I59" s="75"/>
      <c r="J59" s="76"/>
      <c r="K59" s="21"/>
      <c r="L59" s="22"/>
      <c r="M59" s="22"/>
      <c r="N59" s="220" t="s">
        <v>435</v>
      </c>
      <c r="O59" s="75"/>
      <c r="P59" s="75"/>
      <c r="Q59" s="21"/>
      <c r="R59" s="22"/>
      <c r="S59" s="22"/>
      <c r="T59" s="22"/>
      <c r="U59" s="22"/>
      <c r="V59" s="22"/>
      <c r="W59" s="22"/>
      <c r="X59" s="22"/>
      <c r="Y59" s="22"/>
      <c r="Z59" s="22"/>
      <c r="AA59" s="22"/>
      <c r="AB59" s="22"/>
      <c r="AR59" s="24"/>
      <c r="DD59" s="19"/>
      <c r="DE59" s="19"/>
      <c r="DF59" s="25"/>
      <c r="DG59" s="19"/>
    </row>
    <row r="60" spans="2:118" s="20" customFormat="1" ht="18" customHeight="1" x14ac:dyDescent="0.2">
      <c r="B60" s="21"/>
      <c r="C60" s="246"/>
      <c r="D60" s="246"/>
      <c r="E60" s="246"/>
      <c r="F60" s="40"/>
      <c r="G60" s="62">
        <v>4</v>
      </c>
      <c r="H60" s="59" t="str">
        <f>IF(SUM(AH27:AH30)=12,AD27,INDEX(Language!$A$1:$AX$115,MATCH("Group D Winner",Language!$B$1:$B$112,0),MATCH($H$3,Language!$A$1:$AW$1,0)))</f>
        <v>Kroatien</v>
      </c>
      <c r="I60" s="74">
        <v>0</v>
      </c>
      <c r="J60" s="90"/>
      <c r="K60" s="21"/>
      <c r="L60" s="22"/>
      <c r="M60" s="22"/>
      <c r="N60" s="221"/>
      <c r="O60" s="75"/>
      <c r="P60" s="75"/>
      <c r="Q60" s="21"/>
      <c r="R60" s="22"/>
      <c r="S60" s="22"/>
      <c r="T60" s="22"/>
      <c r="U60" s="22"/>
      <c r="V60" s="22"/>
      <c r="W60" s="22"/>
      <c r="X60" s="22"/>
      <c r="Y60" s="22"/>
      <c r="Z60" s="22"/>
      <c r="AA60" s="22"/>
      <c r="AB60" s="22"/>
      <c r="AR60" s="24"/>
      <c r="DD60" s="19"/>
      <c r="DE60" s="19"/>
      <c r="DF60" s="25"/>
      <c r="DG60" s="19"/>
    </row>
    <row r="61" spans="2:118" s="20" customFormat="1" ht="18" customHeight="1" thickBot="1" x14ac:dyDescent="0.25">
      <c r="B61" s="21"/>
      <c r="C61" s="246"/>
      <c r="D61" s="246"/>
      <c r="E61" s="246"/>
      <c r="F61" s="40"/>
      <c r="G61" s="62">
        <f>INDEX('Dummy Table'!$DW$3:$DW$8,MATCH(Tournament!H61,'Dummy Table'!$DH$3:$DH$8,0),0)</f>
        <v>6</v>
      </c>
      <c r="H61" s="102" t="str">
        <f>IF(SUM(AH44:AH49)=18,INDEX(AD44:AD49,MATCH(INDEX('Dummy Table'!DO13:DO27,MATCH(10,'Dummy Table'!DU13:DU27,0),0),Tournament!AQ44:AQ49,0),0),INDEX(Language!$A$1:$AX$115,MATCH("Group B/E/F 3rd Place",Language!$B$1:$B$112,0),MATCH($H$3,Language!$A$1:$AW$1,0)))</f>
        <v>Portugal</v>
      </c>
      <c r="I61" s="74">
        <v>1</v>
      </c>
      <c r="J61" s="29"/>
      <c r="K61" s="23"/>
      <c r="L61" s="22"/>
      <c r="M61" s="22"/>
      <c r="N61" s="23"/>
      <c r="O61" s="75"/>
      <c r="P61" s="75"/>
      <c r="Q61" s="21"/>
      <c r="R61" s="22"/>
      <c r="T61" s="22"/>
      <c r="U61" s="22"/>
      <c r="V61" s="22"/>
      <c r="W61" s="22"/>
      <c r="X61" s="22"/>
      <c r="Y61" s="22"/>
      <c r="Z61" s="22"/>
      <c r="AA61" s="22"/>
      <c r="AB61" s="22"/>
      <c r="AR61" s="24"/>
      <c r="DD61" s="19"/>
      <c r="DE61" s="19"/>
      <c r="DF61" s="25"/>
      <c r="DG61" s="19"/>
    </row>
    <row r="62" spans="2:118" s="20" customFormat="1" ht="18" customHeight="1" thickBot="1" x14ac:dyDescent="0.25">
      <c r="B62" s="21"/>
      <c r="C62" s="246"/>
      <c r="D62" s="246"/>
      <c r="E62" s="246"/>
      <c r="F62" s="40"/>
      <c r="G62" s="22"/>
      <c r="H62" s="220" t="s">
        <v>433</v>
      </c>
      <c r="I62" s="75"/>
      <c r="J62" s="76"/>
      <c r="K62" s="23"/>
      <c r="L62" s="22"/>
      <c r="M62" s="22"/>
      <c r="N62" s="23"/>
      <c r="O62" s="75"/>
      <c r="P62" s="75"/>
      <c r="Q62" s="21"/>
      <c r="R62" s="54">
        <v>49</v>
      </c>
      <c r="S62" s="227">
        <f>'Countries and Timezone'!R50</f>
        <v>42191.875</v>
      </c>
      <c r="T62" s="227"/>
      <c r="U62" s="227"/>
      <c r="V62" s="227"/>
      <c r="W62" s="227"/>
      <c r="X62" s="228"/>
      <c r="Y62" s="22"/>
      <c r="Z62" s="22"/>
      <c r="AC62" s="22"/>
      <c r="AD62" s="22"/>
      <c r="AE62" s="22"/>
      <c r="AF62" s="22"/>
      <c r="AG62" s="22"/>
      <c r="AH62" s="31"/>
      <c r="AI62" s="149"/>
      <c r="AJ62" s="91"/>
      <c r="AK62" s="22"/>
      <c r="AN62" s="22"/>
      <c r="AO62" s="22"/>
      <c r="AP62" s="22"/>
      <c r="AR62" s="24"/>
      <c r="DD62" s="19"/>
      <c r="DE62" s="19"/>
      <c r="DF62" s="25"/>
      <c r="DG62" s="19"/>
    </row>
    <row r="63" spans="2:118" s="20" customFormat="1" ht="18" customHeight="1" x14ac:dyDescent="0.2">
      <c r="B63" s="21"/>
      <c r="C63" s="246"/>
      <c r="D63" s="246"/>
      <c r="E63" s="246"/>
      <c r="F63" s="40"/>
      <c r="G63" s="22"/>
      <c r="H63" s="221"/>
      <c r="I63" s="76"/>
      <c r="J63" s="76"/>
      <c r="K63" s="23"/>
      <c r="L63" s="22"/>
      <c r="M63" s="22"/>
      <c r="N63" s="23"/>
      <c r="O63" s="75"/>
      <c r="P63" s="75"/>
      <c r="Q63" s="32"/>
      <c r="R63" s="153">
        <f>IF(N57=S63,M57,IF(N58=S63,M58,""))</f>
        <v>6</v>
      </c>
      <c r="S63" s="224" t="str">
        <f>IF(AND(O57&lt;&gt;"",O58&lt;&gt;""),IF(O57&gt;O58,N57,IF(O57=O58,IF(P57&gt;P58,N57,IF(P58&gt;P57,N58,INDEX(Language!$A$1:$AX$115,MATCH("Match 45 Winner",Language!$B$1:$B$112,0),MATCH($H$3,Language!$A$1:$AW$1,0)))),N58)),INDEX(Language!$A$1:$AX$115,MATCH("Match 45 Winner",Language!$B$1:$B$112,0),MATCH($H$3,Language!$A$1:$AW$1,0)))</f>
        <v>Portugal</v>
      </c>
      <c r="T63" s="225"/>
      <c r="U63" s="225"/>
      <c r="V63" s="225"/>
      <c r="W63" s="225"/>
      <c r="X63" s="225"/>
      <c r="Y63" s="77">
        <v>2</v>
      </c>
      <c r="Z63" s="90"/>
      <c r="AR63" s="24"/>
      <c r="DD63" s="19"/>
      <c r="DE63" s="19"/>
      <c r="DF63" s="25"/>
      <c r="DG63" s="19"/>
    </row>
    <row r="64" spans="2:118" s="20" customFormat="1" ht="18" customHeight="1" thickBot="1" x14ac:dyDescent="0.25">
      <c r="B64" s="21"/>
      <c r="C64" s="246"/>
      <c r="D64" s="246"/>
      <c r="E64" s="246"/>
      <c r="F64" s="40"/>
      <c r="G64" s="22"/>
      <c r="H64" s="146"/>
      <c r="I64" s="76"/>
      <c r="J64" s="76"/>
      <c r="K64" s="23"/>
      <c r="L64" s="22"/>
      <c r="M64" s="22"/>
      <c r="N64" s="23"/>
      <c r="O64" s="75"/>
      <c r="P64" s="75"/>
      <c r="Q64" s="21"/>
      <c r="R64" s="154">
        <f>IF(S64=N69,M69,IF(S64=N70,M70,""))</f>
        <v>2</v>
      </c>
      <c r="S64" s="224" t="str">
        <f>IF(AND(O69&lt;&gt;"",O70&lt;&gt;""),IF(O69&gt;O70,N69,IF(O69=O70,IF(P69&gt;P70,N69,IF(P70&gt;P69,N70,INDEX(Language!$A$1:$AX$115,MATCH("Match 46 Winner",Language!$B$1:$B$112,0),MATCH($H$3,Language!$A$1:$AW$1,0)))),N70)),INDEX(Language!$A$1:$AX$115,MATCH("Match 46 Winner",Language!$B$1:$B$112,0),MATCH($H$3,Language!$A$1:$AW$1,0)))</f>
        <v>Wales</v>
      </c>
      <c r="T64" s="225"/>
      <c r="U64" s="225"/>
      <c r="V64" s="225"/>
      <c r="W64" s="225"/>
      <c r="X64" s="226"/>
      <c r="Y64" s="74">
        <v>0</v>
      </c>
      <c r="Z64" s="92"/>
      <c r="AR64" s="24"/>
      <c r="DD64" s="19"/>
      <c r="DE64" s="19"/>
      <c r="DF64" s="25"/>
      <c r="DG64" s="19"/>
    </row>
    <row r="65" spans="2:111" s="20" customFormat="1" ht="18" customHeight="1" thickBot="1" x14ac:dyDescent="0.25">
      <c r="B65" s="21"/>
      <c r="C65" s="246"/>
      <c r="D65" s="246"/>
      <c r="E65" s="246"/>
      <c r="F65" s="40"/>
      <c r="G65" s="54">
        <v>38</v>
      </c>
      <c r="H65" s="55">
        <f>'Countries and Timezone'!R39</f>
        <v>42546.75</v>
      </c>
      <c r="I65" s="75"/>
      <c r="J65" s="76"/>
      <c r="K65" s="22"/>
      <c r="L65" s="22"/>
      <c r="M65" s="22"/>
      <c r="N65" s="22"/>
      <c r="O65" s="75"/>
      <c r="P65" s="75"/>
      <c r="Q65" s="21"/>
      <c r="R65" s="22"/>
      <c r="S65" s="220" t="s">
        <v>440</v>
      </c>
      <c r="T65" s="220"/>
      <c r="U65" s="220"/>
      <c r="V65" s="220"/>
      <c r="W65" s="220"/>
      <c r="X65" s="220"/>
      <c r="Y65" s="75"/>
      <c r="Z65" s="179"/>
      <c r="AA65" s="22"/>
      <c r="AR65" s="24"/>
      <c r="DD65" s="19"/>
      <c r="DE65" s="19"/>
      <c r="DF65" s="25"/>
      <c r="DG65" s="19"/>
    </row>
    <row r="66" spans="2:111" s="20" customFormat="1" ht="18" customHeight="1" x14ac:dyDescent="0.2">
      <c r="B66" s="21"/>
      <c r="C66" s="246"/>
      <c r="D66" s="246"/>
      <c r="E66" s="246"/>
      <c r="F66" s="40"/>
      <c r="G66" s="62">
        <v>2</v>
      </c>
      <c r="H66" s="58" t="str">
        <f>IF(SUM(AH17:AH20)=12,AD17,INDEX(Language!$A$1:$AX$115,MATCH("Group B Winner",Language!$B$1:$B$112,0),MATCH($H$3,Language!$A$1:$AW$1,0)))</f>
        <v>Wales</v>
      </c>
      <c r="I66" s="77">
        <v>1</v>
      </c>
      <c r="J66" s="90"/>
      <c r="K66" s="22"/>
      <c r="L66" s="22"/>
      <c r="M66" s="22"/>
      <c r="N66" s="22"/>
      <c r="O66" s="75"/>
      <c r="P66" s="75"/>
      <c r="Q66" s="21"/>
      <c r="R66" s="22"/>
      <c r="S66" s="221"/>
      <c r="T66" s="221"/>
      <c r="U66" s="221"/>
      <c r="V66" s="221"/>
      <c r="W66" s="221"/>
      <c r="X66" s="221"/>
      <c r="Y66" s="75"/>
      <c r="Z66" s="179"/>
      <c r="AA66" s="22"/>
      <c r="AR66" s="24"/>
      <c r="DD66" s="19"/>
      <c r="DE66" s="19"/>
      <c r="DF66" s="25"/>
      <c r="DG66" s="19"/>
    </row>
    <row r="67" spans="2:111" s="20" customFormat="1" ht="18" customHeight="1" thickBot="1" x14ac:dyDescent="0.25">
      <c r="B67" s="21"/>
      <c r="C67" s="246"/>
      <c r="D67" s="246"/>
      <c r="E67" s="246"/>
      <c r="F67" s="40"/>
      <c r="G67" s="62">
        <f>INDEX('Dummy Table'!$DW$3:$DW$8,MATCH(Tournament!H67,'Dummy Table'!$DH$3:$DH$8,0),0)</f>
        <v>3</v>
      </c>
      <c r="H67" s="102" t="str">
        <f>IF(SUM(AH44:AH49)=18,INDEX(AD44:AD49,MATCH(INDEX('Dummy Table'!DM13:DM27,MATCH(10,'Dummy Table'!DU13:DU27,0),0),Tournament!AQ44:AQ49,0),0),INDEX(Language!$A$1:$AX$115,MATCH("Group A/C/D 3rd Place",Language!$B$1:$B$112,0),MATCH($H$3,Language!$A$1:$AW$1,0)))</f>
        <v>Nordirland</v>
      </c>
      <c r="I67" s="77">
        <v>0</v>
      </c>
      <c r="J67" s="29"/>
      <c r="K67" s="21"/>
      <c r="L67" s="22"/>
      <c r="M67" s="22"/>
      <c r="N67" s="22"/>
      <c r="O67" s="75"/>
      <c r="P67" s="75"/>
      <c r="Q67" s="21"/>
      <c r="R67" s="22"/>
      <c r="S67" s="22"/>
      <c r="T67" s="22"/>
      <c r="U67" s="22"/>
      <c r="V67" s="22"/>
      <c r="W67" s="22"/>
      <c r="X67" s="22"/>
      <c r="Y67" s="75"/>
      <c r="Z67" s="179"/>
      <c r="AA67" s="22"/>
      <c r="AR67" s="24"/>
      <c r="DD67" s="19"/>
      <c r="DE67" s="19"/>
      <c r="DF67" s="25"/>
      <c r="DG67" s="19"/>
    </row>
    <row r="68" spans="2:111" s="20" customFormat="1" ht="18" customHeight="1" thickBot="1" x14ac:dyDescent="0.25">
      <c r="B68" s="21"/>
      <c r="C68" s="246"/>
      <c r="D68" s="246"/>
      <c r="E68" s="246"/>
      <c r="F68" s="40"/>
      <c r="G68" s="22"/>
      <c r="H68" s="220" t="s">
        <v>436</v>
      </c>
      <c r="I68" s="75"/>
      <c r="J68" s="76"/>
      <c r="K68" s="21"/>
      <c r="L68" s="51"/>
      <c r="M68" s="54">
        <v>46</v>
      </c>
      <c r="N68" s="55">
        <f>'Countries and Timezone'!R47</f>
        <v>42552.875</v>
      </c>
      <c r="O68" s="75"/>
      <c r="P68" s="75"/>
      <c r="Q68" s="21"/>
      <c r="Y68" s="180"/>
      <c r="Z68" s="179"/>
      <c r="AR68" s="24"/>
      <c r="DD68" s="19"/>
      <c r="DE68" s="19"/>
      <c r="DF68" s="25"/>
      <c r="DG68" s="19"/>
    </row>
    <row r="69" spans="2:111" s="20" customFormat="1" ht="18" customHeight="1" x14ac:dyDescent="0.2">
      <c r="B69" s="21"/>
      <c r="C69" s="246"/>
      <c r="D69" s="246"/>
      <c r="E69" s="246"/>
      <c r="F69" s="40"/>
      <c r="G69" s="22"/>
      <c r="H69" s="221"/>
      <c r="I69" s="75"/>
      <c r="J69" s="76"/>
      <c r="K69" s="47"/>
      <c r="L69" s="33"/>
      <c r="M69" s="153">
        <f>IF(N69=H66,G66,IF(N69=H67,G67,""))</f>
        <v>2</v>
      </c>
      <c r="N69" s="147" t="str">
        <f>IF(AND(I66&lt;&gt;"",I67&lt;&gt;""),IF(I66&gt;I67,H66,IF(I66=I67,IF(J66&gt;J67,H66,IF(J67&gt;J66,H67,INDEX(Language!$A$1:$AX$115,MATCH("Match 38 Winner",Language!$B$1:$B$112,0),MATCH($H$3,Language!$A$1:$AW$1,0)))),H67)),INDEX(Language!$A$1:$AX$115,MATCH("Match 38 Winner",Language!$B$1:$B$112,0),MATCH($H$3,Language!$A$1:$AW$1,0)))</f>
        <v>Wales</v>
      </c>
      <c r="O69" s="77">
        <v>3</v>
      </c>
      <c r="P69" s="90"/>
      <c r="Q69" s="21"/>
      <c r="Y69" s="180"/>
      <c r="Z69" s="179"/>
      <c r="AR69" s="24"/>
      <c r="DD69" s="19"/>
      <c r="DE69" s="19"/>
      <c r="DF69" s="25"/>
      <c r="DG69" s="19"/>
    </row>
    <row r="70" spans="2:111" s="20" customFormat="1" ht="18" customHeight="1" thickBot="1" x14ac:dyDescent="0.25">
      <c r="B70" s="21"/>
      <c r="C70" s="246"/>
      <c r="D70" s="246"/>
      <c r="E70" s="246"/>
      <c r="F70" s="40"/>
      <c r="G70" s="22"/>
      <c r="H70" s="146"/>
      <c r="I70" s="75"/>
      <c r="J70" s="76"/>
      <c r="K70" s="49"/>
      <c r="L70" s="48"/>
      <c r="M70" s="62">
        <f>IF(N70=H72,G72,IF(N70=H73,G73,""))</f>
        <v>5</v>
      </c>
      <c r="N70" s="148" t="str">
        <f>IF(AND(I72&lt;&gt;"",I73&lt;&gt;""),IF(I72&gt;I73,H72,IF(I72=I73,IF(J72&gt;J73,H72,IF(J73&gt;J72,H73,INDEX(Language!$A$1:$AX$115,MATCH("Match 42 Winner",Language!$B$1:$B$112,0),MATCH($H$3,Language!$A$1:$AW$1,0)))),H73)),INDEX(Language!$A$1:$AX$115,MATCH("Match 42 Winner",Language!$B$1:$B$112,0),MATCH($H$3,Language!$A$1:$AW$1,0)))</f>
        <v>Belgien</v>
      </c>
      <c r="O70" s="77">
        <v>1</v>
      </c>
      <c r="P70" s="29"/>
      <c r="Q70" s="22"/>
      <c r="Y70" s="180"/>
      <c r="Z70" s="179"/>
      <c r="AR70" s="24"/>
      <c r="DD70" s="19"/>
      <c r="DE70" s="19"/>
      <c r="DF70" s="25"/>
      <c r="DG70" s="19"/>
    </row>
    <row r="71" spans="2:111" s="20" customFormat="1" ht="18" customHeight="1" thickBot="1" x14ac:dyDescent="0.25">
      <c r="B71" s="21"/>
      <c r="C71" s="246"/>
      <c r="D71" s="246"/>
      <c r="E71" s="246"/>
      <c r="F71" s="40"/>
      <c r="G71" s="54">
        <v>42</v>
      </c>
      <c r="H71" s="55">
        <f>'Countries and Timezone'!R43</f>
        <v>42547.875</v>
      </c>
      <c r="I71" s="75"/>
      <c r="J71" s="76"/>
      <c r="K71" s="21"/>
      <c r="L71" s="22"/>
      <c r="M71" s="22"/>
      <c r="N71" s="220" t="s">
        <v>438</v>
      </c>
      <c r="O71" s="75"/>
      <c r="P71" s="75"/>
      <c r="Q71" s="22"/>
      <c r="Y71" s="180"/>
      <c r="Z71" s="179"/>
      <c r="AR71" s="24"/>
      <c r="DD71" s="19"/>
      <c r="DE71" s="19"/>
      <c r="DF71" s="25"/>
      <c r="DG71" s="19"/>
    </row>
    <row r="72" spans="2:111" s="20" customFormat="1" ht="18" customHeight="1" x14ac:dyDescent="0.2">
      <c r="B72" s="21"/>
      <c r="C72" s="246"/>
      <c r="D72" s="246"/>
      <c r="E72" s="246"/>
      <c r="F72" s="40"/>
      <c r="G72" s="62">
        <v>6</v>
      </c>
      <c r="H72" s="107" t="str">
        <f>IF(SUM(AH37:AH40)=12,AD37,INDEX(Language!$A$1:$AX$115,MATCH("Group F Winner",Language!$B$1:$B$112,0),MATCH($H$3,Language!$A$1:$AW$1,0)))</f>
        <v>Ungarn</v>
      </c>
      <c r="I72" s="77">
        <v>0</v>
      </c>
      <c r="J72" s="90"/>
      <c r="K72" s="21"/>
      <c r="L72" s="22"/>
      <c r="M72" s="22"/>
      <c r="N72" s="221"/>
      <c r="O72" s="75"/>
      <c r="P72" s="75"/>
      <c r="Q72" s="22"/>
      <c r="Y72" s="180"/>
      <c r="Z72" s="179"/>
      <c r="AB72" s="222" t="str">
        <f>INDEX(Language!$A$1:$AX$115,MATCH("Final",Language!$B$1:$B$112,0),MATCH($H$3,Language!$A$1:$AW$1,0))</f>
        <v>Finale</v>
      </c>
      <c r="AC72" s="223"/>
      <c r="AD72" s="223"/>
      <c r="AE72" s="223"/>
      <c r="AF72" s="223"/>
      <c r="AG72" s="223"/>
      <c r="AH72" s="223"/>
      <c r="AI72" s="223"/>
      <c r="AJ72" s="223"/>
      <c r="AR72" s="24"/>
      <c r="DD72" s="19"/>
      <c r="DE72" s="19"/>
      <c r="DF72" s="25"/>
      <c r="DG72" s="19"/>
    </row>
    <row r="73" spans="2:111" s="20" customFormat="1" ht="18" customHeight="1" thickBot="1" x14ac:dyDescent="0.25">
      <c r="B73" s="21"/>
      <c r="C73" s="246"/>
      <c r="D73" s="246"/>
      <c r="E73" s="246"/>
      <c r="F73" s="40"/>
      <c r="G73" s="62">
        <v>5</v>
      </c>
      <c r="H73" s="104" t="str">
        <f>IF(SUM(AH32:AH35)=12,AD33,INDEX(Language!$A$1:$AX$115,MATCH("Group E Runner Up",Language!$B$1:$B$112,0),MATCH($H$3,Language!$A$1:$AW$1,0)))</f>
        <v>Belgien</v>
      </c>
      <c r="I73" s="77">
        <v>4</v>
      </c>
      <c r="J73" s="29"/>
      <c r="K73" s="22"/>
      <c r="L73" s="22"/>
      <c r="M73" s="22"/>
      <c r="N73" s="23"/>
      <c r="O73" s="75"/>
      <c r="P73" s="75"/>
      <c r="Q73" s="22"/>
      <c r="Y73" s="180"/>
      <c r="Z73" s="179"/>
      <c r="AR73" s="24"/>
      <c r="DD73" s="19"/>
      <c r="DE73" s="19"/>
      <c r="DF73" s="25"/>
      <c r="DG73" s="19"/>
    </row>
    <row r="74" spans="2:111" s="20" customFormat="1" ht="18" customHeight="1" thickBot="1" x14ac:dyDescent="0.25">
      <c r="B74" s="21"/>
      <c r="C74" s="246"/>
      <c r="D74" s="246"/>
      <c r="E74" s="246"/>
      <c r="F74" s="40"/>
      <c r="G74" s="22"/>
      <c r="H74" s="220" t="s">
        <v>439</v>
      </c>
      <c r="I74" s="75"/>
      <c r="J74" s="76"/>
      <c r="K74" s="22"/>
      <c r="L74" s="22"/>
      <c r="M74" s="22"/>
      <c r="N74" s="23"/>
      <c r="O74" s="75"/>
      <c r="P74" s="75"/>
      <c r="Q74" s="22"/>
      <c r="Y74" s="75"/>
      <c r="Z74" s="179"/>
      <c r="AA74" s="21"/>
      <c r="AB74" s="54">
        <v>51</v>
      </c>
      <c r="AC74" s="227">
        <f>'Countries and Timezone'!R52</f>
        <v>42195.875</v>
      </c>
      <c r="AD74" s="227"/>
      <c r="AE74" s="227"/>
      <c r="AF74" s="227"/>
      <c r="AG74" s="227"/>
      <c r="AH74" s="228"/>
      <c r="AI74" s="22"/>
      <c r="AJ74" s="22"/>
      <c r="AR74" s="24"/>
      <c r="DD74" s="19"/>
      <c r="DE74" s="19"/>
      <c r="DF74" s="25"/>
      <c r="DG74" s="19"/>
    </row>
    <row r="75" spans="2:111" s="20" customFormat="1" ht="18" customHeight="1" x14ac:dyDescent="0.2">
      <c r="B75" s="21"/>
      <c r="C75" s="246"/>
      <c r="D75" s="246"/>
      <c r="E75" s="246"/>
      <c r="F75" s="40"/>
      <c r="G75" s="22"/>
      <c r="H75" s="221"/>
      <c r="I75" s="75"/>
      <c r="J75" s="76"/>
      <c r="K75" s="23"/>
      <c r="L75" s="22"/>
      <c r="M75" s="22"/>
      <c r="N75" s="22"/>
      <c r="O75" s="75"/>
      <c r="P75" s="75"/>
      <c r="Q75" s="22"/>
      <c r="Y75" s="75"/>
      <c r="Z75" s="179"/>
      <c r="AA75" s="32"/>
      <c r="AB75" s="153">
        <f>IF(S63=AC75,R63,IF(S64=AC75,R64,""))</f>
        <v>6</v>
      </c>
      <c r="AC75" s="224" t="str">
        <f>IF(AND(Y63&lt;&gt;"",Y64&lt;&gt;""),IF(Y63&gt;Y64,S63,IF(Y63=Y64,IF(Z63&gt;Z64,S63,IF(Z64&gt;Z63,S64,INDEX(Language!$A$1:$AX$115,MATCH("Match 49 Winner",Language!$B$1:$B$112,0),MATCH($H$3,Language!$A$1:$AW$1,0)))),S64)),INDEX(Language!$A$1:$AX$115,MATCH("Match 49 Winner",Language!$B$1:$B$112,0),MATCH($H$3,Language!$A$1:$AW$1,0)))</f>
        <v>Portugal</v>
      </c>
      <c r="AD75" s="225"/>
      <c r="AE75" s="225"/>
      <c r="AF75" s="225"/>
      <c r="AG75" s="225"/>
      <c r="AH75" s="226"/>
      <c r="AI75" s="77">
        <v>1</v>
      </c>
      <c r="AJ75" s="115"/>
      <c r="AR75" s="24"/>
      <c r="DD75" s="19"/>
      <c r="DE75" s="19"/>
      <c r="DF75" s="25"/>
      <c r="DG75" s="19"/>
    </row>
    <row r="76" spans="2:111" s="20" customFormat="1" ht="18" customHeight="1" thickBot="1" x14ac:dyDescent="0.25">
      <c r="B76" s="21"/>
      <c r="C76" s="246"/>
      <c r="D76" s="246"/>
      <c r="E76" s="246"/>
      <c r="F76" s="40"/>
      <c r="G76" s="22"/>
      <c r="H76" s="150"/>
      <c r="I76" s="75"/>
      <c r="J76" s="75"/>
      <c r="K76" s="22"/>
      <c r="L76" s="22"/>
      <c r="M76" s="22"/>
      <c r="N76" s="22"/>
      <c r="O76" s="75"/>
      <c r="P76" s="75"/>
      <c r="Q76" s="22"/>
      <c r="V76" s="22"/>
      <c r="W76" s="22"/>
      <c r="X76" s="22"/>
      <c r="Y76" s="75"/>
      <c r="Z76" s="179"/>
      <c r="AA76" s="21"/>
      <c r="AB76" s="154">
        <f>IF(AC76=S87,R87,IF(AC76=S88,R88,""))</f>
        <v>1</v>
      </c>
      <c r="AC76" s="224" t="str">
        <f>IF(AND(Y87&lt;&gt;"",Y88&lt;&gt;""),IF(Y87&gt;Y88,S87,IF(Y87=Y88,IF(Z87&gt;Z88,S87,IF(Z88&gt;Z87,S88,INDEX(Language!$A$1:$AX$115,MATCH("Match 50 Winner",Language!$B$1:$B$112,0),MATCH($H$3,Language!$A$1:$AW$1,0)))),S88)),INDEX(Language!$A$1:$AX$115,MATCH("Match 50 Winner",Language!$B$1:$B$112,0),MATCH($H$3,Language!$A$1:$AW$1,0)))</f>
        <v>Frankreich</v>
      </c>
      <c r="AD76" s="225"/>
      <c r="AE76" s="225"/>
      <c r="AF76" s="225"/>
      <c r="AG76" s="225"/>
      <c r="AH76" s="225"/>
      <c r="AI76" s="77">
        <v>0</v>
      </c>
      <c r="AJ76" s="29"/>
      <c r="AK76" s="22"/>
      <c r="AN76" s="22"/>
      <c r="AO76" s="22"/>
      <c r="AP76" s="22"/>
      <c r="AR76" s="24"/>
      <c r="DD76" s="19"/>
      <c r="DE76" s="19"/>
      <c r="DF76" s="25"/>
      <c r="DG76" s="19"/>
    </row>
    <row r="77" spans="2:111" s="20" customFormat="1" ht="18" customHeight="1" thickBot="1" x14ac:dyDescent="0.25">
      <c r="B77" s="21"/>
      <c r="C77" s="246"/>
      <c r="D77" s="246"/>
      <c r="E77" s="246"/>
      <c r="F77" s="40"/>
      <c r="G77" s="54">
        <v>41</v>
      </c>
      <c r="H77" s="55">
        <v>42547.75</v>
      </c>
      <c r="I77" s="75"/>
      <c r="J77" s="76"/>
      <c r="K77" s="22"/>
      <c r="L77" s="22"/>
      <c r="M77" s="22"/>
      <c r="N77" s="22"/>
      <c r="O77" s="75"/>
      <c r="P77" s="75"/>
      <c r="Q77" s="22"/>
      <c r="V77" s="22"/>
      <c r="W77" s="22"/>
      <c r="X77" s="22"/>
      <c r="Y77" s="75"/>
      <c r="Z77" s="179"/>
      <c r="AA77" s="21"/>
      <c r="AB77" s="22"/>
      <c r="AC77" s="220" t="s">
        <v>432</v>
      </c>
      <c r="AD77" s="220"/>
      <c r="AE77" s="220"/>
      <c r="AF77" s="220"/>
      <c r="AG77" s="220"/>
      <c r="AH77" s="220"/>
      <c r="AI77" s="75"/>
      <c r="AJ77" s="22"/>
      <c r="AN77" s="22"/>
      <c r="AO77" s="22"/>
      <c r="AP77" s="22"/>
      <c r="AR77" s="24"/>
      <c r="DD77" s="19"/>
      <c r="DE77" s="19"/>
      <c r="DF77" s="25"/>
      <c r="DG77" s="19"/>
    </row>
    <row r="78" spans="2:111" s="20" customFormat="1" ht="18" customHeight="1" x14ac:dyDescent="0.2">
      <c r="B78" s="21"/>
      <c r="C78" s="246"/>
      <c r="D78" s="246"/>
      <c r="E78" s="246"/>
      <c r="F78" s="40"/>
      <c r="G78" s="62">
        <v>3</v>
      </c>
      <c r="H78" s="60" t="str">
        <f>IF(SUM(AH22:AH25)=12,AD22,INDEX(Language!$A$1:$AX$115,MATCH("Group C Winner",Language!$B$1:$B$112,0),MATCH($H$3,Language!$A$1:$AW$1,0)))</f>
        <v>Deutschland</v>
      </c>
      <c r="I78" s="74">
        <v>3</v>
      </c>
      <c r="J78" s="90"/>
      <c r="K78" s="22"/>
      <c r="L78" s="22"/>
      <c r="M78" s="22"/>
      <c r="N78" s="22"/>
      <c r="O78" s="75"/>
      <c r="P78" s="75"/>
      <c r="Q78" s="22"/>
      <c r="V78" s="22"/>
      <c r="W78" s="22"/>
      <c r="X78" s="22"/>
      <c r="Y78" s="75"/>
      <c r="Z78" s="179"/>
      <c r="AC78" s="221"/>
      <c r="AD78" s="221"/>
      <c r="AE78" s="221"/>
      <c r="AF78" s="221"/>
      <c r="AG78" s="221"/>
      <c r="AH78" s="221"/>
      <c r="AK78" s="45"/>
      <c r="AN78" s="22"/>
      <c r="AO78" s="22"/>
      <c r="AP78" s="22"/>
      <c r="AR78" s="24"/>
      <c r="DD78" s="19"/>
      <c r="DE78" s="19"/>
      <c r="DF78" s="25"/>
      <c r="DG78" s="19"/>
    </row>
    <row r="79" spans="2:111" s="20" customFormat="1" ht="18" customHeight="1" thickBot="1" x14ac:dyDescent="0.25">
      <c r="B79" s="21"/>
      <c r="C79" s="246"/>
      <c r="D79" s="246"/>
      <c r="E79" s="246"/>
      <c r="F79" s="40"/>
      <c r="G79" s="62">
        <f>INDEX('Dummy Table'!$DW$3:$DW$8,MATCH(Tournament!H79,'Dummy Table'!$DH$3:$DH$8,0),0)</f>
        <v>2</v>
      </c>
      <c r="H79" s="102" t="str">
        <f>IF(SUM(AH44:AH49)=18,INDEX(AD44:AD49,MATCH(INDEX('Dummy Table'!DN13:DN27,MATCH(10,'Dummy Table'!DU13:DU27,0),0),Tournament!AQ44:AQ49,0),0),INDEX(Language!$A$1:$AX$115,MATCH("Group A/B/F 3rd Place",Language!$B$1:$B$112,0),MATCH($H$3,Language!$A$1:$AW$1,0)))</f>
        <v>Slowakei</v>
      </c>
      <c r="I79" s="74">
        <v>0</v>
      </c>
      <c r="J79" s="29"/>
      <c r="K79" s="49"/>
      <c r="M79" s="22"/>
      <c r="N79" s="22"/>
      <c r="O79" s="75"/>
      <c r="P79" s="75"/>
      <c r="Q79" s="22"/>
      <c r="V79" s="22"/>
      <c r="W79" s="22"/>
      <c r="X79" s="22"/>
      <c r="Y79" s="75"/>
      <c r="Z79" s="179"/>
      <c r="AK79" s="45"/>
      <c r="AN79" s="22"/>
      <c r="AO79" s="22"/>
      <c r="AP79" s="22"/>
      <c r="AR79" s="24"/>
      <c r="DD79" s="19"/>
      <c r="DE79" s="19"/>
      <c r="DF79" s="25"/>
      <c r="DG79" s="19"/>
    </row>
    <row r="80" spans="2:111" s="20" customFormat="1" ht="18" customHeight="1" thickBot="1" x14ac:dyDescent="0.25">
      <c r="B80" s="21"/>
      <c r="C80" s="246"/>
      <c r="D80" s="246"/>
      <c r="E80" s="246"/>
      <c r="F80" s="40"/>
      <c r="G80" s="22"/>
      <c r="H80" s="220" t="s">
        <v>438</v>
      </c>
      <c r="I80" s="75"/>
      <c r="J80" s="76"/>
      <c r="K80" s="49"/>
      <c r="L80" s="22"/>
      <c r="M80" s="54">
        <v>47</v>
      </c>
      <c r="N80" s="55">
        <f>'Countries and Timezone'!R48</f>
        <v>42553.875</v>
      </c>
      <c r="O80" s="75"/>
      <c r="P80" s="75"/>
      <c r="Q80" s="22"/>
      <c r="V80" s="22"/>
      <c r="W80" s="22"/>
      <c r="X80" s="22"/>
      <c r="Y80" s="75"/>
      <c r="Z80" s="179"/>
      <c r="AK80" s="45"/>
      <c r="AN80" s="22"/>
      <c r="AO80" s="22"/>
      <c r="AP80" s="22"/>
      <c r="AR80" s="24"/>
      <c r="AS80" s="22"/>
      <c r="DD80" s="19"/>
      <c r="DE80" s="19"/>
      <c r="DF80" s="25"/>
      <c r="DG80" s="19"/>
    </row>
    <row r="81" spans="2:111" s="20" customFormat="1" ht="18" customHeight="1" x14ac:dyDescent="0.2">
      <c r="B81" s="21"/>
      <c r="C81" s="246"/>
      <c r="D81" s="246"/>
      <c r="E81" s="246"/>
      <c r="F81" s="40"/>
      <c r="G81" s="22"/>
      <c r="H81" s="221"/>
      <c r="I81" s="75"/>
      <c r="J81" s="76"/>
      <c r="K81" s="32"/>
      <c r="L81" s="33"/>
      <c r="M81" s="153">
        <f>IF(N81=H78,G78,IF(N81=H79,G79,""))</f>
        <v>3</v>
      </c>
      <c r="N81" s="147" t="str">
        <f>IF(AND(I78&lt;&gt;"",I79&lt;&gt;""),IF(I78&gt;I79,H78,IF(I78=I79,IF(J78&gt;J79,H78,IF(J79&gt;J78,H79,INDEX(Language!$A$1:$AX$115,MATCH("Match 41 Winner",Language!$B$1:$B$112,0),MATCH($H$3,Language!$A$1:$AW$1,0)))),H79)),INDEX(Language!$A$1:$AX$115,MATCH("Match 41 Winner",Language!$B$1:$B$112,0),MATCH($H$3,Language!$A$1:$AW$1,0)))</f>
        <v>Deutschland</v>
      </c>
      <c r="O81" s="74">
        <v>1</v>
      </c>
      <c r="P81" s="90">
        <v>6</v>
      </c>
      <c r="Q81" s="22"/>
      <c r="V81" s="22"/>
      <c r="W81" s="22"/>
      <c r="X81" s="22"/>
      <c r="Y81" s="75"/>
      <c r="Z81" s="179"/>
      <c r="AK81" s="45"/>
      <c r="AN81" s="22"/>
      <c r="AO81" s="22"/>
      <c r="AP81" s="22"/>
      <c r="AR81" s="24"/>
      <c r="AS81" s="22"/>
      <c r="DD81" s="19"/>
      <c r="DE81" s="19"/>
      <c r="DF81" s="25"/>
      <c r="DG81" s="19"/>
    </row>
    <row r="82" spans="2:111" s="20" customFormat="1" ht="18" customHeight="1" thickBot="1" x14ac:dyDescent="0.25">
      <c r="B82" s="21"/>
      <c r="C82" s="246"/>
      <c r="D82" s="246"/>
      <c r="E82" s="246"/>
      <c r="F82" s="40"/>
      <c r="G82" s="22"/>
      <c r="H82" s="146"/>
      <c r="I82" s="75"/>
      <c r="J82" s="76"/>
      <c r="K82" s="21"/>
      <c r="L82" s="48"/>
      <c r="M82" s="62">
        <f>IF(N82=H84,G84,IF(N82=H85,G85,""))</f>
        <v>5</v>
      </c>
      <c r="N82" s="148" t="str">
        <f>IF(AND(I84&lt;&gt;"",I85&lt;&gt;""),IF(I84&gt;I85,H84,IF(I84=I85,IF(J84&gt;J85,H84,IF(J85&gt;J84,H85,INDEX(Language!$A$1:$AX$115,MATCH("Match 43 Winner",Language!$B$1:$B$112,0),MATCH($H$3,Language!$A$1:$AW$1,0)))),H85)),INDEX(Language!$A$1:$AX$115,MATCH("Match 43 Winner",Language!$B$1:$B$112,0),MATCH($H$3,Language!$A$1:$AW$1,0)))</f>
        <v>Italien</v>
      </c>
      <c r="O82" s="74">
        <v>1</v>
      </c>
      <c r="P82" s="29">
        <v>5</v>
      </c>
      <c r="Q82" s="21"/>
      <c r="V82" s="22"/>
      <c r="W82" s="22"/>
      <c r="X82" s="22"/>
      <c r="Y82" s="75"/>
      <c r="Z82" s="179"/>
      <c r="AK82" s="45"/>
      <c r="AN82" s="22"/>
      <c r="AO82" s="22"/>
      <c r="AP82" s="22"/>
      <c r="AR82" s="24"/>
      <c r="AS82" s="22"/>
      <c r="DD82" s="19"/>
      <c r="DE82" s="19"/>
      <c r="DF82" s="25"/>
      <c r="DG82" s="19"/>
    </row>
    <row r="83" spans="2:111" s="20" customFormat="1" ht="18" customHeight="1" thickBot="1" x14ac:dyDescent="0.25">
      <c r="B83" s="21"/>
      <c r="C83" s="246"/>
      <c r="D83" s="246"/>
      <c r="E83" s="246"/>
      <c r="F83" s="40"/>
      <c r="G83" s="54">
        <v>43</v>
      </c>
      <c r="H83" s="55">
        <f>'Countries and Timezone'!R44</f>
        <v>42548.75</v>
      </c>
      <c r="I83" s="75"/>
      <c r="J83" s="76"/>
      <c r="K83" s="21"/>
      <c r="L83" s="22"/>
      <c r="M83" s="22"/>
      <c r="N83" s="220" t="s">
        <v>442</v>
      </c>
      <c r="O83" s="75"/>
      <c r="P83" s="75"/>
      <c r="Q83" s="21"/>
      <c r="V83" s="22"/>
      <c r="W83" s="22"/>
      <c r="X83" s="22"/>
      <c r="Y83" s="75"/>
      <c r="Z83" s="179"/>
      <c r="AK83" s="45"/>
      <c r="AN83" s="22"/>
      <c r="AO83" s="22"/>
      <c r="AP83" s="22"/>
      <c r="AR83" s="24"/>
      <c r="AS83" s="22"/>
      <c r="DD83" s="19"/>
      <c r="DE83" s="19"/>
      <c r="DF83" s="25"/>
      <c r="DG83" s="19"/>
    </row>
    <row r="84" spans="2:111" s="20" customFormat="1" ht="18" customHeight="1" x14ac:dyDescent="0.2">
      <c r="B84" s="21"/>
      <c r="C84" s="246"/>
      <c r="D84" s="246"/>
      <c r="E84" s="246"/>
      <c r="F84" s="40"/>
      <c r="G84" s="62">
        <v>5</v>
      </c>
      <c r="H84" s="103" t="str">
        <f>IF(SUM(AH32:AH35)=12,AD32,INDEX(Language!$A$1:$AX$115,MATCH("Group E Winner",Language!$B$1:$B$112,0),MATCH($H$3,Language!$A$1:$AW$1,0)))</f>
        <v>Italien</v>
      </c>
      <c r="I84" s="74">
        <v>2</v>
      </c>
      <c r="J84" s="90"/>
      <c r="K84" s="21"/>
      <c r="L84" s="22"/>
      <c r="M84" s="22"/>
      <c r="N84" s="221"/>
      <c r="O84" s="75"/>
      <c r="P84" s="75"/>
      <c r="Q84" s="21"/>
      <c r="V84" s="22"/>
      <c r="W84" s="22"/>
      <c r="X84" s="22"/>
      <c r="Y84" s="75"/>
      <c r="Z84" s="179"/>
      <c r="AA84" s="22"/>
      <c r="AB84" s="22"/>
      <c r="AC84" s="25"/>
      <c r="AD84" s="22"/>
      <c r="AG84" s="22"/>
      <c r="AH84" s="31"/>
      <c r="AI84" s="151"/>
      <c r="AJ84" s="79"/>
      <c r="AK84" s="45"/>
      <c r="AN84" s="22"/>
      <c r="AO84" s="22"/>
      <c r="AP84" s="22"/>
      <c r="AR84" s="24"/>
      <c r="AS84" s="22"/>
      <c r="DD84" s="19"/>
      <c r="DE84" s="19"/>
      <c r="DF84" s="25"/>
      <c r="DG84" s="19"/>
    </row>
    <row r="85" spans="2:111" s="20" customFormat="1" ht="18" customHeight="1" thickBot="1" x14ac:dyDescent="0.25">
      <c r="B85" s="21"/>
      <c r="C85" s="246"/>
      <c r="D85" s="246"/>
      <c r="E85" s="246"/>
      <c r="F85" s="40"/>
      <c r="G85" s="62">
        <v>4</v>
      </c>
      <c r="H85" s="57" t="str">
        <f>IF(SUM(AH27:AH30)=12,AD28,INDEX(Language!$A$1:$AX$115,MATCH("Group D Runner Up",Language!$B$1:$B$112,0),MATCH($H$3,Language!$A$1:$AW$1,0)))</f>
        <v>Spanien</v>
      </c>
      <c r="I85" s="74">
        <v>0</v>
      </c>
      <c r="J85" s="29"/>
      <c r="K85" s="23"/>
      <c r="L85" s="22"/>
      <c r="M85" s="22"/>
      <c r="N85" s="23"/>
      <c r="O85" s="75"/>
      <c r="P85" s="75"/>
      <c r="Q85" s="21"/>
      <c r="V85" s="22"/>
      <c r="W85" s="22"/>
      <c r="X85" s="22"/>
      <c r="Y85" s="75"/>
      <c r="Z85" s="179"/>
      <c r="AA85" s="22"/>
      <c r="AB85" s="22"/>
      <c r="AC85" s="25"/>
      <c r="AD85" s="22"/>
      <c r="AG85" s="22"/>
      <c r="AH85" s="31"/>
      <c r="AI85" s="151"/>
      <c r="AJ85" s="79"/>
      <c r="AK85" s="45"/>
      <c r="AN85" s="22"/>
      <c r="AO85" s="22"/>
      <c r="AP85" s="22"/>
      <c r="AR85" s="24"/>
      <c r="AS85" s="22"/>
      <c r="DD85" s="19"/>
      <c r="DE85" s="19"/>
      <c r="DF85" s="25"/>
      <c r="DG85" s="19"/>
    </row>
    <row r="86" spans="2:111" s="20" customFormat="1" ht="18" customHeight="1" thickBot="1" x14ac:dyDescent="0.25">
      <c r="B86" s="21"/>
      <c r="C86" s="246"/>
      <c r="D86" s="246"/>
      <c r="E86" s="246"/>
      <c r="F86" s="40"/>
      <c r="G86" s="22"/>
      <c r="H86" s="220" t="s">
        <v>432</v>
      </c>
      <c r="I86" s="75"/>
      <c r="J86" s="76"/>
      <c r="K86" s="23"/>
      <c r="L86" s="22"/>
      <c r="M86" s="22"/>
      <c r="N86" s="23"/>
      <c r="O86" s="75"/>
      <c r="P86" s="75"/>
      <c r="Q86" s="21"/>
      <c r="R86" s="54">
        <v>50</v>
      </c>
      <c r="S86" s="227">
        <f>'Countries and Timezone'!R51</f>
        <v>42192.875</v>
      </c>
      <c r="T86" s="227"/>
      <c r="U86" s="227"/>
      <c r="V86" s="227"/>
      <c r="W86" s="227"/>
      <c r="X86" s="228"/>
      <c r="Y86" s="75"/>
      <c r="Z86" s="179"/>
      <c r="AA86" s="22"/>
      <c r="AB86" s="22"/>
      <c r="AC86" s="25"/>
      <c r="AD86" s="22"/>
      <c r="AG86" s="22"/>
      <c r="AH86" s="31"/>
      <c r="AI86" s="151"/>
      <c r="AJ86" s="79"/>
      <c r="AK86" s="45"/>
      <c r="AN86" s="22"/>
      <c r="AO86" s="22"/>
      <c r="AP86" s="22"/>
      <c r="AR86" s="24"/>
      <c r="AS86" s="22"/>
      <c r="DD86" s="19"/>
      <c r="DE86" s="19"/>
      <c r="DF86" s="25"/>
      <c r="DG86" s="19"/>
    </row>
    <row r="87" spans="2:111" s="20" customFormat="1" ht="18" customHeight="1" x14ac:dyDescent="0.2">
      <c r="B87" s="21"/>
      <c r="C87" s="246"/>
      <c r="D87" s="246"/>
      <c r="E87" s="246"/>
      <c r="F87" s="40"/>
      <c r="G87" s="22"/>
      <c r="H87" s="221"/>
      <c r="I87" s="76"/>
      <c r="J87" s="76"/>
      <c r="K87" s="23"/>
      <c r="L87" s="22"/>
      <c r="M87" s="22"/>
      <c r="N87" s="23"/>
      <c r="O87" s="75"/>
      <c r="P87" s="75"/>
      <c r="Q87" s="32"/>
      <c r="R87" s="153">
        <f>IF(N81=S87,M81,IF(N82=S87,M82,""))</f>
        <v>3</v>
      </c>
      <c r="S87" s="224" t="str">
        <f>IF(AND(O81&lt;&gt;"",O82&lt;&gt;""),IF(O81&gt;O82,N81,IF(O81=O82,IF(P81&gt;P82,N81,IF(P82&gt;P81,N82,INDEX(Language!$A$1:$AX$115,MATCH("Match 47 Winner",Language!$B$1:$B$112,0),MATCH($H$3,Language!$A$1:$AW$1,0)))),N82)),INDEX(Language!$A$1:$AX$115,MATCH("Match 47 Winner",Language!$B$1:$B$112,0),MATCH($H$3,Language!$A$1:$AW$1,0)))</f>
        <v>Deutschland</v>
      </c>
      <c r="T87" s="225"/>
      <c r="U87" s="225"/>
      <c r="V87" s="225"/>
      <c r="W87" s="225"/>
      <c r="X87" s="225"/>
      <c r="Y87" s="77">
        <v>0</v>
      </c>
      <c r="Z87" s="114"/>
      <c r="AA87" s="22"/>
      <c r="AB87" s="22"/>
      <c r="AC87" s="25"/>
      <c r="AD87" s="22"/>
      <c r="AG87" s="22"/>
      <c r="AH87" s="31"/>
      <c r="AI87" s="151"/>
      <c r="AJ87" s="79"/>
      <c r="AK87" s="45"/>
      <c r="AN87" s="22"/>
      <c r="AO87" s="22"/>
      <c r="AP87" s="22"/>
      <c r="AR87" s="24"/>
      <c r="AS87" s="22"/>
      <c r="DD87" s="19"/>
      <c r="DE87" s="19"/>
      <c r="DF87" s="25"/>
      <c r="DG87" s="19"/>
    </row>
    <row r="88" spans="2:111" s="20" customFormat="1" ht="18" customHeight="1" thickBot="1" x14ac:dyDescent="0.25">
      <c r="B88" s="21"/>
      <c r="C88" s="246"/>
      <c r="D88" s="246"/>
      <c r="E88" s="246"/>
      <c r="F88" s="40"/>
      <c r="G88" s="22"/>
      <c r="H88" s="146"/>
      <c r="I88" s="76"/>
      <c r="J88" s="76"/>
      <c r="K88" s="23"/>
      <c r="L88" s="22"/>
      <c r="M88" s="22"/>
      <c r="N88" s="23"/>
      <c r="O88" s="75"/>
      <c r="P88" s="75"/>
      <c r="Q88" s="21"/>
      <c r="R88" s="154">
        <f>IF(S88=N93,M93,IF(S88=N94,M94,""))</f>
        <v>1</v>
      </c>
      <c r="S88" s="224" t="str">
        <f>IF(AND(O93&lt;&gt;"",O94&lt;&gt;""),IF(O93&gt;O94,N93,IF(O93=O94,IF(P93&gt;P94,N93,IF(P94&gt;P93,N94,INDEX(Language!$A$1:$AX$115,MATCH("Match 48 Winner",Language!$B$1:$B$112,0),MATCH($H$3,Language!$A$1:$AW$1,0)))),N94)),INDEX(Language!$A$1:$AX$115,MATCH("Match 48 Winner",Language!$B$1:$B$112,0),MATCH($H$3,Language!$A$1:$AW$1,0)))</f>
        <v>Frankreich</v>
      </c>
      <c r="T88" s="225"/>
      <c r="U88" s="225"/>
      <c r="V88" s="225"/>
      <c r="W88" s="225"/>
      <c r="X88" s="226"/>
      <c r="Y88" s="74">
        <v>2</v>
      </c>
      <c r="Z88" s="29"/>
      <c r="AA88" s="22"/>
      <c r="AB88" s="259" t="str">
        <f>INDEX(Language!$A$1:$AX$115,MATCH("CHAMPION",Language!$B$1:$B$112,0),MATCH($H$3,Language!$A$1:$AW$1,0))</f>
        <v>Champion</v>
      </c>
      <c r="AC88" s="260"/>
      <c r="AD88" s="260"/>
      <c r="AE88" s="260"/>
      <c r="AF88" s="260"/>
      <c r="AG88" s="260"/>
      <c r="AH88" s="260"/>
      <c r="AI88" s="260"/>
      <c r="AJ88" s="260"/>
      <c r="AK88" s="260"/>
      <c r="AL88" s="260"/>
      <c r="AM88" s="260"/>
      <c r="AN88" s="260"/>
      <c r="AO88" s="260"/>
      <c r="AP88" s="261"/>
      <c r="AR88" s="24"/>
      <c r="AS88" s="22"/>
      <c r="DD88" s="19"/>
      <c r="DE88" s="19"/>
      <c r="DF88" s="25"/>
      <c r="DG88" s="19"/>
    </row>
    <row r="89" spans="2:111" s="20" customFormat="1" ht="18" customHeight="1" thickBot="1" x14ac:dyDescent="0.25">
      <c r="B89" s="21"/>
      <c r="C89" s="246"/>
      <c r="D89" s="246"/>
      <c r="E89" s="246"/>
      <c r="F89" s="40"/>
      <c r="G89" s="54">
        <v>40</v>
      </c>
      <c r="H89" s="55">
        <f>'Countries and Timezone'!R41</f>
        <v>42547.625</v>
      </c>
      <c r="I89" s="75"/>
      <c r="J89" s="76"/>
      <c r="K89" s="22"/>
      <c r="L89" s="22"/>
      <c r="M89" s="22"/>
      <c r="N89" s="22"/>
      <c r="O89" s="75"/>
      <c r="P89" s="75"/>
      <c r="Q89" s="21"/>
      <c r="R89" s="22"/>
      <c r="S89" s="220" t="s">
        <v>435</v>
      </c>
      <c r="T89" s="220"/>
      <c r="U89" s="220"/>
      <c r="V89" s="220"/>
      <c r="W89" s="220"/>
      <c r="X89" s="220"/>
      <c r="Y89" s="75"/>
      <c r="Z89" s="22"/>
      <c r="AA89" s="22"/>
      <c r="AB89" s="262"/>
      <c r="AC89" s="263"/>
      <c r="AD89" s="263"/>
      <c r="AE89" s="263"/>
      <c r="AF89" s="263"/>
      <c r="AG89" s="263"/>
      <c r="AH89" s="263"/>
      <c r="AI89" s="263"/>
      <c r="AJ89" s="263"/>
      <c r="AK89" s="263"/>
      <c r="AL89" s="263"/>
      <c r="AM89" s="263"/>
      <c r="AN89" s="263"/>
      <c r="AO89" s="263"/>
      <c r="AP89" s="264"/>
      <c r="AR89" s="24"/>
      <c r="AS89" s="22"/>
      <c r="DD89" s="19"/>
      <c r="DE89" s="19"/>
      <c r="DF89" s="25"/>
      <c r="DG89" s="19"/>
    </row>
    <row r="90" spans="2:111" s="20" customFormat="1" ht="18" customHeight="1" x14ac:dyDescent="0.2">
      <c r="B90" s="21"/>
      <c r="C90" s="246"/>
      <c r="D90" s="246"/>
      <c r="E90" s="246"/>
      <c r="F90" s="40"/>
      <c r="G90" s="62">
        <v>1</v>
      </c>
      <c r="H90" s="56" t="str">
        <f>IF(SUM(AH12:AH15)=12,AD12,INDEX(Language!$A$1:$AX$115,MATCH("Group A Winner",Language!$B$1:$B$112,0),MATCH($H$3,Language!$A$1:$AW$1,0)))</f>
        <v>Frankreich</v>
      </c>
      <c r="I90" s="77">
        <v>2</v>
      </c>
      <c r="J90" s="90"/>
      <c r="K90" s="22"/>
      <c r="L90" s="22"/>
      <c r="M90" s="22"/>
      <c r="N90" s="22"/>
      <c r="O90" s="75"/>
      <c r="P90" s="75"/>
      <c r="Q90" s="21"/>
      <c r="S90" s="221"/>
      <c r="T90" s="221"/>
      <c r="U90" s="221"/>
      <c r="V90" s="221"/>
      <c r="W90" s="221"/>
      <c r="X90" s="221"/>
      <c r="Y90" s="22"/>
      <c r="Z90" s="22"/>
      <c r="AA90" s="22"/>
      <c r="AB90" s="253" t="str">
        <f>UPPER(IF(AND(AI75&lt;&gt;"",AI76&lt;&gt;""),IF(AI75&gt;AI76,AC75,IF(AI75=AI76,IF(AJ75&gt;AJ76,AC75,IF(AJ76&gt;AJ75,AC76,INDEX(Language!$A$1:$AX$115,MATCH("Match 51 Winner",Language!$B$1:$B$112,0),MATCH($H$3,Language!$A$1:$AW$1,0)))),AC76)),INDEX(Language!$A$1:$AX$115,MATCH("Match 51 Winner",Language!$B$1:$B$112,0),MATCH($H$3,Language!$A$1:$AW$1,0))))</f>
        <v>PORTUGAL</v>
      </c>
      <c r="AC90" s="254"/>
      <c r="AD90" s="254"/>
      <c r="AE90" s="254"/>
      <c r="AF90" s="254"/>
      <c r="AG90" s="254"/>
      <c r="AH90" s="254"/>
      <c r="AI90" s="254"/>
      <c r="AJ90" s="254"/>
      <c r="AK90" s="254"/>
      <c r="AL90" s="254"/>
      <c r="AM90" s="254"/>
      <c r="AN90" s="254"/>
      <c r="AO90" s="254"/>
      <c r="AP90" s="255"/>
      <c r="AR90" s="24"/>
      <c r="AS90" s="22"/>
      <c r="DD90" s="19"/>
      <c r="DE90" s="19"/>
      <c r="DF90" s="25"/>
      <c r="DG90" s="19"/>
    </row>
    <row r="91" spans="2:111" s="20" customFormat="1" ht="18" customHeight="1" thickBot="1" x14ac:dyDescent="0.25">
      <c r="B91" s="21"/>
      <c r="C91" s="246"/>
      <c r="D91" s="246"/>
      <c r="E91" s="246"/>
      <c r="F91" s="40"/>
      <c r="G91" s="62">
        <f>INDEX('Dummy Table'!$DW$3:$DW$8,MATCH(Tournament!H91,'Dummy Table'!$DH$3:$DH$8,0),0)</f>
        <v>5</v>
      </c>
      <c r="H91" s="102" t="str">
        <f>IF(SUM(AH44:AH49)=18,INDEX(AD44:AD49,MATCH(INDEX('Dummy Table'!DL13:DL27,MATCH(10,'Dummy Table'!DU13:DU27,0),0),Tournament!AQ44:AQ49,0),0),INDEX(Language!$A$1:$AX$115,MATCH("Group C/D/E 3rd Place",Language!$B$1:$B$112,0),MATCH($H$3,Language!$A$1:$AW$1,0)))</f>
        <v>Irische Republik</v>
      </c>
      <c r="I91" s="77">
        <v>1</v>
      </c>
      <c r="J91" s="29"/>
      <c r="K91" s="21"/>
      <c r="L91" s="22"/>
      <c r="M91" s="22"/>
      <c r="N91" s="22"/>
      <c r="O91" s="75"/>
      <c r="P91" s="75"/>
      <c r="Q91" s="21"/>
      <c r="V91" s="22"/>
      <c r="W91" s="22"/>
      <c r="X91" s="22"/>
      <c r="Y91" s="22"/>
      <c r="Z91" s="22"/>
      <c r="AA91" s="22"/>
      <c r="AB91" s="253"/>
      <c r="AC91" s="254"/>
      <c r="AD91" s="254"/>
      <c r="AE91" s="254"/>
      <c r="AF91" s="254"/>
      <c r="AG91" s="254"/>
      <c r="AH91" s="254"/>
      <c r="AI91" s="254"/>
      <c r="AJ91" s="254"/>
      <c r="AK91" s="254"/>
      <c r="AL91" s="254"/>
      <c r="AM91" s="254"/>
      <c r="AN91" s="254"/>
      <c r="AO91" s="254"/>
      <c r="AP91" s="255"/>
      <c r="AR91" s="24"/>
      <c r="AS91" s="22"/>
      <c r="DD91" s="19"/>
      <c r="DE91" s="19"/>
      <c r="DF91" s="25"/>
      <c r="DG91" s="19"/>
    </row>
    <row r="92" spans="2:111" s="20" customFormat="1" ht="18" customHeight="1" thickBot="1" x14ac:dyDescent="0.25">
      <c r="B92" s="21"/>
      <c r="C92" s="246"/>
      <c r="D92" s="246"/>
      <c r="E92" s="246"/>
      <c r="F92" s="40"/>
      <c r="G92" s="22"/>
      <c r="H92" s="220" t="s">
        <v>440</v>
      </c>
      <c r="I92" s="75"/>
      <c r="J92" s="76"/>
      <c r="K92" s="21"/>
      <c r="L92" s="51"/>
      <c r="M92" s="54">
        <v>48</v>
      </c>
      <c r="N92" s="55">
        <f>'Countries and Timezone'!R49</f>
        <v>42554.875</v>
      </c>
      <c r="O92" s="75"/>
      <c r="P92" s="75"/>
      <c r="Q92" s="21"/>
      <c r="V92" s="22"/>
      <c r="W92" s="22"/>
      <c r="X92" s="22"/>
      <c r="Y92" s="22"/>
      <c r="Z92" s="22"/>
      <c r="AA92" s="62"/>
      <c r="AB92" s="256"/>
      <c r="AC92" s="257"/>
      <c r="AD92" s="257"/>
      <c r="AE92" s="257"/>
      <c r="AF92" s="257"/>
      <c r="AG92" s="257"/>
      <c r="AH92" s="257"/>
      <c r="AI92" s="257"/>
      <c r="AJ92" s="257"/>
      <c r="AK92" s="257"/>
      <c r="AL92" s="257"/>
      <c r="AM92" s="257"/>
      <c r="AN92" s="257"/>
      <c r="AO92" s="257"/>
      <c r="AP92" s="258"/>
      <c r="AR92" s="24"/>
      <c r="AS92" s="22"/>
      <c r="DD92" s="19"/>
      <c r="DE92" s="19"/>
      <c r="DF92" s="25"/>
      <c r="DG92" s="19"/>
    </row>
    <row r="93" spans="2:111" s="20" customFormat="1" ht="18" customHeight="1" x14ac:dyDescent="0.2">
      <c r="B93" s="21"/>
      <c r="C93" s="246"/>
      <c r="D93" s="246"/>
      <c r="E93" s="246"/>
      <c r="F93" s="40"/>
      <c r="G93" s="22"/>
      <c r="H93" s="221"/>
      <c r="I93" s="75"/>
      <c r="J93" s="76"/>
      <c r="K93" s="47"/>
      <c r="L93" s="33"/>
      <c r="M93" s="153">
        <f>IF(N93=H90,G90,IF(N93=H91,G91,""))</f>
        <v>1</v>
      </c>
      <c r="N93" s="147" t="str">
        <f>IF(AND(I90&lt;&gt;"",I91&lt;&gt;""),IF(I90&gt;I91,H90,IF(I90=I91,IF(J90&gt;J91,H90,IF(J91&gt;J90,H91,INDEX(Language!$A$1:$AX$115,MATCH("Match 40 Winner",Language!$B$1:$B$112,0),MATCH($H$3,Language!$A$1:$AW$1,0)))),H91)),INDEX(Language!$A$1:$AX$115,MATCH("Match 40 Winner",Language!$B$1:$B$112,0),MATCH($H$3,Language!$A$1:$AW$1,0)))</f>
        <v>Frankreich</v>
      </c>
      <c r="O93" s="77">
        <v>5</v>
      </c>
      <c r="P93" s="90"/>
      <c r="Q93" s="21"/>
      <c r="V93" s="22"/>
      <c r="W93" s="22"/>
      <c r="X93" s="22"/>
      <c r="Y93" s="22"/>
      <c r="Z93" s="22"/>
      <c r="AA93" s="62"/>
      <c r="AR93" s="24"/>
      <c r="AS93" s="22"/>
      <c r="DD93" s="19"/>
      <c r="DE93" s="19"/>
      <c r="DF93" s="25"/>
      <c r="DG93" s="19"/>
    </row>
    <row r="94" spans="2:111" s="20" customFormat="1" ht="18" customHeight="1" thickBot="1" x14ac:dyDescent="0.25">
      <c r="B94" s="21"/>
      <c r="C94" s="246"/>
      <c r="D94" s="246"/>
      <c r="E94" s="246"/>
      <c r="F94" s="40"/>
      <c r="G94" s="22"/>
      <c r="H94" s="146"/>
      <c r="I94" s="75"/>
      <c r="J94" s="76"/>
      <c r="K94" s="49"/>
      <c r="L94" s="48"/>
      <c r="M94" s="62">
        <f>IF(N94=H96,G96,IF(N94=H97,G97,""))</f>
        <v>6</v>
      </c>
      <c r="N94" s="148" t="str">
        <f>IF(AND(I96&lt;&gt;"",I97&lt;&gt;""),IF(I96&gt;I97,H96,IF(I96=I97,IF(J96&gt;J97,H96,IF(J97&gt;J96,H97,INDEX(Language!$A$1:$AX$115,MATCH("Match 44 Winner",Language!$B$1:$B$112,0),MATCH($H$3,Language!$A$1:$AW$1,0)))),H97)),INDEX(Language!$A$1:$AX$115,MATCH("Match 44 Winner",Language!$B$1:$B$112,0),MATCH($H$3,Language!$A$1:$AW$1,0)))</f>
        <v>Island</v>
      </c>
      <c r="O94" s="77">
        <v>2</v>
      </c>
      <c r="P94" s="29"/>
      <c r="Q94" s="22"/>
      <c r="V94" s="22"/>
      <c r="W94" s="22"/>
      <c r="X94" s="22"/>
      <c r="Y94" s="22"/>
      <c r="Z94" s="22"/>
      <c r="AA94" s="62">
        <f>IF(AI75&gt;AI76,AB75,IF(AI75=AI76,IF(AJ75&gt;AJ76,AB75,IF(AJ76&gt;AJ75,AB76,"")),AB76))</f>
        <v>6</v>
      </c>
      <c r="AB94" s="265">
        <v>2</v>
      </c>
      <c r="AC94" s="249" t="str">
        <f>IF(AND(AI75&lt;&gt;"",AI76&lt;&gt;""),IF(AI75&lt;AI76,AC75,IF(AI75=AI76,IF(AJ75&lt;AJ76,AC75,IF(AJ76&lt;AJ75,AC76,INDEX(Language!$A$1:$AX$115,MATCH("Match 51 Loser",Language!$B$1:$B$112,0),MATCH($H$3,Language!$A$1:$AW$1,0)))),AC76)),INDEX(Language!$A$1:$AX$115,MATCH("Match 51 Loser",Language!$B$1:$B$112,0),MATCH($H$3,Language!$A$1:$AW$1,0)))</f>
        <v>Frankreich</v>
      </c>
      <c r="AD94" s="249"/>
      <c r="AE94" s="249"/>
      <c r="AF94" s="249"/>
      <c r="AG94" s="249"/>
      <c r="AH94" s="249"/>
      <c r="AI94" s="249"/>
      <c r="AJ94" s="249"/>
      <c r="AK94" s="249"/>
      <c r="AL94" s="249"/>
      <c r="AM94" s="249"/>
      <c r="AN94" s="249"/>
      <c r="AO94" s="249"/>
      <c r="AP94" s="250"/>
      <c r="AR94" s="24"/>
      <c r="AS94" s="22"/>
      <c r="DD94" s="19"/>
      <c r="DE94" s="19"/>
      <c r="DF94" s="25"/>
      <c r="DG94" s="19"/>
    </row>
    <row r="95" spans="2:111" s="20" customFormat="1" ht="18" customHeight="1" thickBot="1" x14ac:dyDescent="0.25">
      <c r="B95" s="21"/>
      <c r="C95" s="246"/>
      <c r="D95" s="246"/>
      <c r="E95" s="246"/>
      <c r="F95" s="40"/>
      <c r="G95" s="54">
        <v>44</v>
      </c>
      <c r="H95" s="55">
        <f>'Countries and Timezone'!R45</f>
        <v>42548.875</v>
      </c>
      <c r="I95" s="75"/>
      <c r="J95" s="76"/>
      <c r="K95" s="21"/>
      <c r="L95" s="22"/>
      <c r="M95" s="22"/>
      <c r="N95" s="220" t="s">
        <v>432</v>
      </c>
      <c r="O95" s="75"/>
      <c r="P95" s="75"/>
      <c r="Q95" s="22"/>
      <c r="V95" s="22"/>
      <c r="W95" s="22"/>
      <c r="X95" s="22"/>
      <c r="Y95" s="22"/>
      <c r="Z95" s="22"/>
      <c r="AA95" s="62">
        <f>IF(AI75&lt;AI76,AB75,IF(AI75=AI76,IF(AJ75&lt;AJ76,AB75,IF(AJ76&lt;AJ75,AB76,"")),AB76))</f>
        <v>1</v>
      </c>
      <c r="AB95" s="266"/>
      <c r="AC95" s="251"/>
      <c r="AD95" s="251"/>
      <c r="AE95" s="251"/>
      <c r="AF95" s="251"/>
      <c r="AG95" s="251"/>
      <c r="AH95" s="251"/>
      <c r="AI95" s="251"/>
      <c r="AJ95" s="251"/>
      <c r="AK95" s="251"/>
      <c r="AL95" s="251"/>
      <c r="AM95" s="251"/>
      <c r="AN95" s="251"/>
      <c r="AO95" s="251"/>
      <c r="AP95" s="252"/>
      <c r="AR95" s="24"/>
      <c r="AS95" s="22"/>
      <c r="DD95" s="19"/>
      <c r="DE95" s="19"/>
      <c r="DF95" s="25"/>
      <c r="DG95" s="19"/>
    </row>
    <row r="96" spans="2:111" s="20" customFormat="1" ht="18" customHeight="1" x14ac:dyDescent="0.2">
      <c r="B96" s="21"/>
      <c r="C96" s="246"/>
      <c r="D96" s="246"/>
      <c r="E96" s="246"/>
      <c r="F96" s="40"/>
      <c r="G96" s="62">
        <v>2</v>
      </c>
      <c r="H96" s="58" t="str">
        <f>IF(SUM(AH17:AH20)=12,AD18,INDEX(Language!$A$1:$AX$115,MATCH("Group B Runner Up",Language!$B$1:$B$112,0),MATCH($H$3,Language!$A$1:$AW$1,0)))</f>
        <v>England</v>
      </c>
      <c r="I96" s="77">
        <v>1</v>
      </c>
      <c r="J96" s="90"/>
      <c r="K96" s="21"/>
      <c r="L96" s="22"/>
      <c r="M96" s="22"/>
      <c r="N96" s="221"/>
      <c r="O96" s="75"/>
      <c r="P96" s="75"/>
      <c r="Q96" s="22"/>
      <c r="V96" s="22"/>
      <c r="W96" s="22"/>
      <c r="X96" s="22"/>
      <c r="Y96" s="22"/>
      <c r="Z96" s="22"/>
      <c r="AA96" s="62">
        <f>IF(Y63&gt;Y64,R64,IF(Y63=Y64,IF(Z63&gt;Z64,R64,IF(Z64&gt;Z63,R63,"")),R63))</f>
        <v>2</v>
      </c>
      <c r="AB96" s="109">
        <v>3</v>
      </c>
      <c r="AC96" s="247" t="str">
        <f>IF(AND(Y63&lt;&gt;"",Y64&lt;&gt;""),IF(Y63&gt;Y64,S64,IF(Y63=Y64,IF(Z63&gt;Z64,S64,IF(Z64&gt;Z63,S63,INDEX(Language!$A$1:$AX$115,MATCH("Match 49 Loser",Language!$B$1:$B$112,0),MATCH($H$3,Language!$A$1:$AW$1,0)))),S63)),INDEX(Language!$A$1:$AX$115,MATCH("Match 49 Loser",Language!$B$1:$B$112,0),MATCH($H$3,Language!$A$1:$AW$1,0)))</f>
        <v>Wales</v>
      </c>
      <c r="AD96" s="247"/>
      <c r="AE96" s="247"/>
      <c r="AF96" s="247"/>
      <c r="AG96" s="247"/>
      <c r="AH96" s="247"/>
      <c r="AI96" s="247"/>
      <c r="AJ96" s="247"/>
      <c r="AK96" s="247"/>
      <c r="AL96" s="247"/>
      <c r="AM96" s="247"/>
      <c r="AN96" s="247"/>
      <c r="AO96" s="247"/>
      <c r="AP96" s="248"/>
      <c r="AR96" s="24"/>
      <c r="AS96" s="22"/>
      <c r="DD96" s="19"/>
      <c r="DE96" s="19"/>
      <c r="DF96" s="25"/>
      <c r="DG96" s="19"/>
    </row>
    <row r="97" spans="2:111" s="20" customFormat="1" ht="18" customHeight="1" x14ac:dyDescent="0.2">
      <c r="B97" s="21"/>
      <c r="C97" s="246"/>
      <c r="D97" s="246"/>
      <c r="E97" s="246"/>
      <c r="F97" s="40"/>
      <c r="G97" s="62">
        <v>6</v>
      </c>
      <c r="H97" s="106" t="str">
        <f>IF(SUM(AH37:AH40)=12,AD38,INDEX(Language!$A$1:$AX$115,MATCH("Group F Runner Up",Language!$B$1:$B$112,0),MATCH($H$3,Language!$A$1:$AW$1,0)))</f>
        <v>Island</v>
      </c>
      <c r="I97" s="77">
        <v>2</v>
      </c>
      <c r="J97" s="29"/>
      <c r="K97" s="22"/>
      <c r="L97" s="22"/>
      <c r="M97" s="22"/>
      <c r="N97" s="23"/>
      <c r="O97" s="75"/>
      <c r="P97" s="75"/>
      <c r="Q97" s="22"/>
      <c r="V97" s="22"/>
      <c r="W97" s="22"/>
      <c r="X97" s="22"/>
      <c r="Y97" s="22"/>
      <c r="Z97" s="22"/>
      <c r="AA97" s="62">
        <f>IF(Y87&gt;Y88,R88,IF(Y87=Y88,IF(Z87&gt;Z88,R88,IF(Z88&gt;Z87,R87,"")),R87))</f>
        <v>3</v>
      </c>
      <c r="AB97" s="109">
        <v>3</v>
      </c>
      <c r="AC97" s="247" t="str">
        <f>IF(AND(Y87&lt;&gt;"",Y88&lt;&gt;""),IF(Y87&gt;Y88,S88,IF(Y87=Y88,IF(Z87&gt;Z88,S88,IF(Z88&gt;Z87,S87,INDEX(Language!$A$1:$AX$115,MATCH("Match 50 Loser",Language!$B$1:$B$112,0),MATCH($H$3,Language!$A$1:$AW$1,0)))),S87)),INDEX(Language!$A$1:$AX$115,MATCH("Match 50 Loser",Language!$B$1:$B$112,0),MATCH($H$3,Language!$A$1:$AW$1,0)))</f>
        <v>Deutschland</v>
      </c>
      <c r="AD97" s="247"/>
      <c r="AE97" s="247"/>
      <c r="AF97" s="247"/>
      <c r="AG97" s="247"/>
      <c r="AH97" s="247"/>
      <c r="AI97" s="247"/>
      <c r="AJ97" s="247"/>
      <c r="AK97" s="247"/>
      <c r="AL97" s="247"/>
      <c r="AM97" s="247"/>
      <c r="AN97" s="247"/>
      <c r="AO97" s="247"/>
      <c r="AP97" s="248"/>
      <c r="AR97" s="24"/>
      <c r="AS97" s="22"/>
      <c r="DD97" s="19"/>
      <c r="DE97" s="19"/>
      <c r="DF97" s="25"/>
      <c r="DG97" s="19"/>
    </row>
    <row r="98" spans="2:111" s="20" customFormat="1" ht="18" customHeight="1" x14ac:dyDescent="0.2">
      <c r="B98" s="21"/>
      <c r="C98" s="246"/>
      <c r="D98" s="246"/>
      <c r="E98" s="246"/>
      <c r="F98" s="40"/>
      <c r="G98" s="22"/>
      <c r="H98" s="220" t="s">
        <v>437</v>
      </c>
      <c r="I98" s="75"/>
      <c r="J98" s="76"/>
      <c r="K98" s="22"/>
      <c r="L98" s="22"/>
      <c r="M98" s="22"/>
      <c r="N98" s="23"/>
      <c r="O98" s="75"/>
      <c r="P98" s="75"/>
      <c r="Q98" s="22"/>
      <c r="V98" s="22"/>
      <c r="W98" s="22"/>
      <c r="X98" s="22"/>
      <c r="Y98" s="22"/>
      <c r="Z98" s="22"/>
      <c r="AA98" s="22"/>
      <c r="AB98" s="22"/>
      <c r="AC98" s="25"/>
      <c r="AD98" s="22"/>
      <c r="AG98" s="22"/>
      <c r="AH98" s="31"/>
      <c r="AI98" s="151"/>
      <c r="AJ98" s="79"/>
      <c r="AK98" s="45"/>
      <c r="AN98" s="22"/>
      <c r="AO98" s="22"/>
      <c r="AP98" s="22"/>
      <c r="AR98" s="24"/>
      <c r="AS98" s="22"/>
      <c r="DD98" s="19"/>
      <c r="DE98" s="19"/>
      <c r="DF98" s="25"/>
      <c r="DG98" s="19"/>
    </row>
    <row r="99" spans="2:111" s="20" customFormat="1" ht="18" customHeight="1" x14ac:dyDescent="0.25">
      <c r="B99" s="21"/>
      <c r="C99" s="72"/>
      <c r="D99" s="72"/>
      <c r="E99" s="72"/>
      <c r="F99" s="40"/>
      <c r="G99" s="62" t="s">
        <v>4130</v>
      </c>
      <c r="H99" s="221"/>
      <c r="I99" s="22"/>
      <c r="J99" s="22"/>
      <c r="K99" s="22"/>
      <c r="L99" s="22"/>
      <c r="M99" s="22"/>
      <c r="N99" s="22"/>
      <c r="O99" s="22"/>
      <c r="P99" s="22"/>
      <c r="Q99" s="22"/>
      <c r="V99" s="22"/>
      <c r="W99" s="22"/>
      <c r="X99" s="22"/>
      <c r="Y99" s="22"/>
      <c r="Z99" s="22"/>
      <c r="AA99" s="22"/>
      <c r="AB99" s="22"/>
      <c r="AC99" s="25"/>
      <c r="AD99" s="22"/>
      <c r="AG99" s="22"/>
      <c r="AH99" s="31"/>
      <c r="AI99" s="69"/>
      <c r="AJ99" s="79"/>
      <c r="AK99" s="45"/>
      <c r="AN99" s="22"/>
      <c r="AO99" s="22"/>
      <c r="AP99" s="22"/>
      <c r="AR99" s="24"/>
      <c r="AS99" s="22"/>
      <c r="DD99" s="19"/>
      <c r="DE99" s="19"/>
      <c r="DF99" s="26"/>
      <c r="DG99" s="19"/>
    </row>
    <row r="100" spans="2:111" s="20" customFormat="1" ht="8.4499999999999993" customHeight="1" x14ac:dyDescent="0.25">
      <c r="B100" s="21"/>
      <c r="C100" s="22"/>
      <c r="D100" s="22"/>
      <c r="E100" s="22"/>
      <c r="F100" s="40"/>
      <c r="G100" s="22"/>
      <c r="H100" s="22"/>
      <c r="I100" s="22"/>
      <c r="J100" s="22"/>
      <c r="K100" s="22"/>
      <c r="L100" s="22"/>
      <c r="M100" s="22"/>
      <c r="N100" s="22"/>
      <c r="O100" s="22"/>
      <c r="P100" s="22"/>
      <c r="Q100" s="22"/>
      <c r="V100" s="22"/>
      <c r="W100" s="22"/>
      <c r="X100" s="22"/>
      <c r="Y100" s="22"/>
      <c r="Z100" s="22"/>
      <c r="AA100" s="22"/>
      <c r="AB100" s="22"/>
      <c r="AC100" s="25"/>
      <c r="AD100" s="22"/>
      <c r="AG100" s="22"/>
      <c r="AH100" s="31"/>
      <c r="AI100" s="69"/>
      <c r="AJ100" s="79"/>
      <c r="AK100" s="45"/>
      <c r="AN100" s="22"/>
      <c r="AO100" s="22"/>
      <c r="AP100" s="22"/>
      <c r="AR100" s="22"/>
      <c r="AS100" s="22"/>
      <c r="DD100" s="19"/>
      <c r="DE100" s="19"/>
      <c r="DF100" s="26"/>
      <c r="DG100" s="19"/>
    </row>
    <row r="101" spans="2:111" s="20" customFormat="1" ht="15" customHeight="1" x14ac:dyDescent="0.25">
      <c r="B101" s="71" t="s">
        <v>3998</v>
      </c>
      <c r="C101" s="52"/>
      <c r="D101" s="52"/>
      <c r="E101" s="52"/>
      <c r="F101" s="52"/>
      <c r="G101" s="52"/>
      <c r="H101" s="52"/>
      <c r="I101" s="52"/>
      <c r="J101" s="52"/>
      <c r="K101" s="52"/>
      <c r="L101" s="52"/>
      <c r="M101" s="52"/>
      <c r="N101" s="52"/>
      <c r="O101" s="52"/>
      <c r="P101" s="52"/>
      <c r="Q101" s="52"/>
      <c r="R101" s="52"/>
      <c r="S101" s="52"/>
      <c r="T101" s="52"/>
      <c r="U101" s="52"/>
      <c r="V101" s="52"/>
      <c r="W101" s="52"/>
      <c r="X101" s="52"/>
      <c r="Y101" s="52"/>
      <c r="Z101" s="52"/>
      <c r="AA101" s="72"/>
      <c r="AB101" s="52"/>
      <c r="AC101" s="53"/>
      <c r="AD101" s="52"/>
      <c r="AE101" s="52"/>
      <c r="AF101" s="52"/>
      <c r="AG101" s="52"/>
      <c r="AH101" s="52"/>
      <c r="AI101" s="52"/>
      <c r="AJ101" s="52"/>
      <c r="AK101" s="52"/>
      <c r="AL101" s="52"/>
      <c r="AM101" s="72"/>
      <c r="AN101" s="72"/>
      <c r="AO101" s="72"/>
      <c r="AP101" s="72"/>
      <c r="AQ101" s="72"/>
      <c r="AR101" s="72"/>
      <c r="AS101" s="22"/>
      <c r="DD101" s="19"/>
      <c r="DE101" s="19"/>
      <c r="DF101" s="26"/>
      <c r="DG101" s="19"/>
    </row>
    <row r="102" spans="2:111" s="20" customFormat="1" ht="15" customHeight="1" x14ac:dyDescent="0.25">
      <c r="F102" s="44"/>
      <c r="K102" s="22"/>
      <c r="P102" s="22"/>
      <c r="Q102" s="22"/>
      <c r="R102" s="22"/>
      <c r="S102" s="22"/>
      <c r="T102" s="22"/>
      <c r="U102" s="22"/>
      <c r="V102" s="22"/>
      <c r="W102" s="22"/>
      <c r="X102" s="22"/>
      <c r="Y102" s="22"/>
      <c r="Z102" s="22"/>
      <c r="AA102" s="22"/>
      <c r="AC102" s="19"/>
      <c r="AH102" s="67"/>
      <c r="AI102" s="69"/>
      <c r="AJ102" s="79"/>
      <c r="AK102" s="45"/>
      <c r="DD102" s="19"/>
      <c r="DE102" s="19"/>
      <c r="DF102" s="26"/>
      <c r="DG102" s="19"/>
    </row>
  </sheetData>
  <sheetProtection password="CE6F" sheet="1" objects="1" scenarios="1" formatCells="0" formatColumns="0" formatRows="0"/>
  <mergeCells count="78">
    <mergeCell ref="H56:H57"/>
    <mergeCell ref="AD37:AG37"/>
    <mergeCell ref="AD38:AG38"/>
    <mergeCell ref="C51:E98"/>
    <mergeCell ref="AC74:AH74"/>
    <mergeCell ref="AC75:AH75"/>
    <mergeCell ref="AC76:AH76"/>
    <mergeCell ref="AC97:AP97"/>
    <mergeCell ref="AC96:AP96"/>
    <mergeCell ref="AC94:AP95"/>
    <mergeCell ref="AB90:AP92"/>
    <mergeCell ref="AB88:AP89"/>
    <mergeCell ref="AB94:AB95"/>
    <mergeCell ref="S62:X62"/>
    <mergeCell ref="S63:X63"/>
    <mergeCell ref="G51:J51"/>
    <mergeCell ref="M51:P51"/>
    <mergeCell ref="AD24:AG24"/>
    <mergeCell ref="AD25:AG25"/>
    <mergeCell ref="AD28:AG28"/>
    <mergeCell ref="AD29:AG29"/>
    <mergeCell ref="AD30:AG30"/>
    <mergeCell ref="AD49:AG49"/>
    <mergeCell ref="AD32:AG32"/>
    <mergeCell ref="AD40:AG40"/>
    <mergeCell ref="AD39:AG39"/>
    <mergeCell ref="R51:Z51"/>
    <mergeCell ref="AD17:AG17"/>
    <mergeCell ref="AD18:AG18"/>
    <mergeCell ref="O11:Q11"/>
    <mergeCell ref="AD12:AG12"/>
    <mergeCell ref="AD13:AG13"/>
    <mergeCell ref="AD14:AG14"/>
    <mergeCell ref="AD15:AG15"/>
    <mergeCell ref="AC16:AG16"/>
    <mergeCell ref="AC11:AG11"/>
    <mergeCell ref="AD19:AG19"/>
    <mergeCell ref="AD23:AG23"/>
    <mergeCell ref="AC36:AG36"/>
    <mergeCell ref="AC31:AG31"/>
    <mergeCell ref="AC26:AG26"/>
    <mergeCell ref="AC21:AG21"/>
    <mergeCell ref="AD34:AG34"/>
    <mergeCell ref="AD35:AG35"/>
    <mergeCell ref="AD33:AG33"/>
    <mergeCell ref="AD20:AG20"/>
    <mergeCell ref="AD27:AG27"/>
    <mergeCell ref="AD22:AG22"/>
    <mergeCell ref="S3:AA3"/>
    <mergeCell ref="C9:AA9"/>
    <mergeCell ref="J11:L11"/>
    <mergeCell ref="AC3:AR5"/>
    <mergeCell ref="B7:AR7"/>
    <mergeCell ref="AC9:AQ9"/>
    <mergeCell ref="C3:F3"/>
    <mergeCell ref="C5:F5"/>
    <mergeCell ref="J5:L5"/>
    <mergeCell ref="J3:L3"/>
    <mergeCell ref="P3:Q3"/>
    <mergeCell ref="H62:H63"/>
    <mergeCell ref="H68:H69"/>
    <mergeCell ref="H74:H75"/>
    <mergeCell ref="H80:H81"/>
    <mergeCell ref="H86:H87"/>
    <mergeCell ref="H92:H93"/>
    <mergeCell ref="H98:H99"/>
    <mergeCell ref="N95:N96"/>
    <mergeCell ref="N83:N84"/>
    <mergeCell ref="N71:N72"/>
    <mergeCell ref="N59:N60"/>
    <mergeCell ref="S65:X66"/>
    <mergeCell ref="S89:X90"/>
    <mergeCell ref="AC77:AH78"/>
    <mergeCell ref="AB72:AJ72"/>
    <mergeCell ref="S88:X88"/>
    <mergeCell ref="S86:X86"/>
    <mergeCell ref="S87:X87"/>
    <mergeCell ref="S64:X64"/>
  </mergeCells>
  <phoneticPr fontId="1" type="noConversion"/>
  <conditionalFormatting sqref="L13:L48 J13:J48">
    <cfRule type="expression" dxfId="142" priority="594">
      <formula>ISBLANK(J13)</formula>
    </cfRule>
  </conditionalFormatting>
  <conditionalFormatting sqref="AQ50 AQ42">
    <cfRule type="expression" dxfId="141" priority="606" stopIfTrue="1">
      <formula>AND(GroupF=12,$AQ42&lt;&gt;"")</formula>
    </cfRule>
  </conditionalFormatting>
  <conditionalFormatting sqref="H13:H48">
    <cfRule type="expression" dxfId="140" priority="611">
      <formula>J13&gt;L13</formula>
    </cfRule>
    <cfRule type="expression" dxfId="139" priority="612">
      <formula>J13&lt;L13</formula>
    </cfRule>
  </conditionalFormatting>
  <conditionalFormatting sqref="N13:N48">
    <cfRule type="expression" dxfId="138" priority="733">
      <formula>L13&gt;J13</formula>
    </cfRule>
    <cfRule type="expression" dxfId="137" priority="734">
      <formula>L13&lt;J13</formula>
    </cfRule>
  </conditionalFormatting>
  <conditionalFormatting sqref="S63:X63">
    <cfRule type="expression" dxfId="136" priority="64">
      <formula>R63=6</formula>
    </cfRule>
    <cfRule type="expression" dxfId="135" priority="65">
      <formula>R63=5</formula>
    </cfRule>
    <cfRule type="expression" dxfId="134" priority="384">
      <formula>R63=4</formula>
    </cfRule>
    <cfRule type="expression" dxfId="133" priority="385">
      <formula>R63=3</formula>
    </cfRule>
    <cfRule type="expression" dxfId="132" priority="386">
      <formula>R63=2</formula>
    </cfRule>
    <cfRule type="expression" dxfId="131" priority="387">
      <formula>R63=1</formula>
    </cfRule>
  </conditionalFormatting>
  <conditionalFormatting sqref="N57">
    <cfRule type="expression" dxfId="130" priority="761">
      <formula>$M$57=3</formula>
    </cfRule>
    <cfRule type="expression" dxfId="129" priority="762">
      <formula>$M$57=1</formula>
    </cfRule>
  </conditionalFormatting>
  <conditionalFormatting sqref="N58">
    <cfRule type="expression" dxfId="128" priority="66">
      <formula>$M$58=6</formula>
    </cfRule>
    <cfRule type="expression" dxfId="127" priority="67">
      <formula>$M$58=5</formula>
    </cfRule>
    <cfRule type="expression" dxfId="126" priority="298">
      <formula>$M$58=4</formula>
    </cfRule>
    <cfRule type="expression" dxfId="125" priority="299">
      <formula>$M$58=2</formula>
    </cfRule>
  </conditionalFormatting>
  <conditionalFormatting sqref="AB90">
    <cfRule type="expression" dxfId="124" priority="775">
      <formula>$AA$94=4</formula>
    </cfRule>
    <cfRule type="expression" dxfId="123" priority="776">
      <formula>$AA$94=3</formula>
    </cfRule>
    <cfRule type="expression" dxfId="122" priority="777">
      <formula>$AA$94=2</formula>
    </cfRule>
    <cfRule type="expression" dxfId="121" priority="778">
      <formula>$AA$94=1</formula>
    </cfRule>
  </conditionalFormatting>
  <conditionalFormatting sqref="N70">
    <cfRule type="expression" dxfId="120" priority="256">
      <formula>$M$70=6</formula>
    </cfRule>
    <cfRule type="expression" dxfId="119" priority="257">
      <formula>$M$70=5</formula>
    </cfRule>
  </conditionalFormatting>
  <conditionalFormatting sqref="N69">
    <cfRule type="expression" dxfId="118" priority="68">
      <formula>$M$69=2</formula>
    </cfRule>
    <cfRule type="expression" dxfId="117" priority="69">
      <formula>$M$69=1</formula>
    </cfRule>
    <cfRule type="expression" dxfId="116" priority="254">
      <formula>$M$69=4</formula>
    </cfRule>
    <cfRule type="expression" dxfId="115" priority="255">
      <formula>$M$69=3</formula>
    </cfRule>
  </conditionalFormatting>
  <conditionalFormatting sqref="J54">
    <cfRule type="expression" dxfId="114" priority="132">
      <formula>AND(I54&lt;&gt;"",I55&lt;&gt;"",I54=I55)</formula>
    </cfRule>
  </conditionalFormatting>
  <conditionalFormatting sqref="J55">
    <cfRule type="expression" dxfId="113" priority="131">
      <formula>AND(I54&lt;&gt;"",I55&lt;&gt;"",I54=I55)</formula>
    </cfRule>
  </conditionalFormatting>
  <conditionalFormatting sqref="J60">
    <cfRule type="expression" dxfId="112" priority="130">
      <formula>AND(I60&lt;&gt;"",I61&lt;&gt;"",I60=I61)</formula>
    </cfRule>
  </conditionalFormatting>
  <conditionalFormatting sqref="J61">
    <cfRule type="expression" dxfId="111" priority="129">
      <formula>AND(I60&lt;&gt;"",I61&lt;&gt;"",I60=I61)</formula>
    </cfRule>
  </conditionalFormatting>
  <conditionalFormatting sqref="J66">
    <cfRule type="expression" dxfId="110" priority="128">
      <formula>AND(I66&lt;&gt;"",I67&lt;&gt;"",I66=I67)</formula>
    </cfRule>
  </conditionalFormatting>
  <conditionalFormatting sqref="J67">
    <cfRule type="expression" dxfId="109" priority="127">
      <formula>AND(I66&lt;&gt;"",I67&lt;&gt;"",I66=I67)</formula>
    </cfRule>
  </conditionalFormatting>
  <conditionalFormatting sqref="J72">
    <cfRule type="expression" dxfId="108" priority="126">
      <formula>AND(I72&lt;&gt;"",I73&lt;&gt;"",I72=I73)</formula>
    </cfRule>
  </conditionalFormatting>
  <conditionalFormatting sqref="J73">
    <cfRule type="expression" dxfId="107" priority="125">
      <formula>AND(I72&lt;&gt;"",I73&lt;&gt;"",I72=I73)</formula>
    </cfRule>
  </conditionalFormatting>
  <conditionalFormatting sqref="P57">
    <cfRule type="expression" dxfId="106" priority="124">
      <formula>AND(O57&lt;&gt;"",O58&lt;&gt;"",O57=O58)</formula>
    </cfRule>
  </conditionalFormatting>
  <conditionalFormatting sqref="P58">
    <cfRule type="expression" dxfId="105" priority="123">
      <formula>AND(O57&lt;&gt;"",O58&lt;&gt;"",O57=O58)</formula>
    </cfRule>
  </conditionalFormatting>
  <conditionalFormatting sqref="P69">
    <cfRule type="expression" dxfId="104" priority="122">
      <formula>AND(O69&lt;&gt;"",O70&lt;&gt;"",O69=O70)</formula>
    </cfRule>
  </conditionalFormatting>
  <conditionalFormatting sqref="P70">
    <cfRule type="expression" dxfId="103" priority="121">
      <formula>AND(O69&lt;&gt;"",O70&lt;&gt;"",O69=O70)</formula>
    </cfRule>
  </conditionalFormatting>
  <conditionalFormatting sqref="Z63">
    <cfRule type="expression" dxfId="102" priority="120">
      <formula>AND(Y63&lt;&gt;"",Y64&lt;&gt;"",Y63=Y64)</formula>
    </cfRule>
  </conditionalFormatting>
  <conditionalFormatting sqref="Z64">
    <cfRule type="expression" dxfId="101" priority="119">
      <formula>AND(Y63&lt;&gt;"",Y64&lt;&gt;"",Y63=Y64)</formula>
    </cfRule>
  </conditionalFormatting>
  <conditionalFormatting sqref="N81">
    <cfRule type="expression" dxfId="100" priority="70">
      <formula>$M$81=6</formula>
    </cfRule>
    <cfRule type="expression" dxfId="99" priority="71">
      <formula>$M$81=3</formula>
    </cfRule>
    <cfRule type="expression" dxfId="98" priority="115">
      <formula>$M$81=2</formula>
    </cfRule>
    <cfRule type="expression" dxfId="97" priority="116">
      <formula>$M$81=1</formula>
    </cfRule>
  </conditionalFormatting>
  <conditionalFormatting sqref="N82">
    <cfRule type="expression" dxfId="96" priority="113">
      <formula>$M$82=4</formula>
    </cfRule>
    <cfRule type="expression" dxfId="95" priority="114">
      <formula>$M$82=5</formula>
    </cfRule>
  </conditionalFormatting>
  <conditionalFormatting sqref="N94">
    <cfRule type="expression" dxfId="94" priority="111">
      <formula>$M$94=2</formula>
    </cfRule>
    <cfRule type="expression" dxfId="93" priority="112">
      <formula>$M$94=6</formula>
    </cfRule>
  </conditionalFormatting>
  <conditionalFormatting sqref="N93">
    <cfRule type="expression" dxfId="92" priority="72">
      <formula>$M$93=5</formula>
    </cfRule>
    <cfRule type="expression" dxfId="91" priority="73">
      <formula>$M$93=4</formula>
    </cfRule>
    <cfRule type="expression" dxfId="90" priority="109">
      <formula>$M$93=1</formula>
    </cfRule>
    <cfRule type="expression" dxfId="89" priority="110">
      <formula>$M$93=3</formula>
    </cfRule>
  </conditionalFormatting>
  <conditionalFormatting sqref="J78">
    <cfRule type="expression" dxfId="88" priority="108">
      <formula>AND(I78&lt;&gt;"",I79&lt;&gt;"",I78=I79)</formula>
    </cfRule>
  </conditionalFormatting>
  <conditionalFormatting sqref="J79">
    <cfRule type="expression" dxfId="87" priority="107">
      <formula>AND(I78&lt;&gt;"",I79&lt;&gt;"",I78=I79)</formula>
    </cfRule>
  </conditionalFormatting>
  <conditionalFormatting sqref="J84">
    <cfRule type="expression" dxfId="86" priority="106">
      <formula>AND(I84&lt;&gt;"",I85&lt;&gt;"",I84=I85)</formula>
    </cfRule>
  </conditionalFormatting>
  <conditionalFormatting sqref="J85">
    <cfRule type="expression" dxfId="85" priority="105">
      <formula>AND(I84&lt;&gt;"",I85&lt;&gt;"",I84=I85)</formula>
    </cfRule>
  </conditionalFormatting>
  <conditionalFormatting sqref="J90">
    <cfRule type="expression" dxfId="84" priority="104">
      <formula>AND(I90&lt;&gt;"",I91&lt;&gt;"",I90=I91)</formula>
    </cfRule>
  </conditionalFormatting>
  <conditionalFormatting sqref="J91">
    <cfRule type="expression" dxfId="83" priority="103">
      <formula>AND(I90&lt;&gt;"",I91&lt;&gt;"",I90=I91)</formula>
    </cfRule>
  </conditionalFormatting>
  <conditionalFormatting sqref="J96">
    <cfRule type="expression" dxfId="82" priority="102">
      <formula>AND(I96&lt;&gt;"",I97&lt;&gt;"",I96=I97)</formula>
    </cfRule>
  </conditionalFormatting>
  <conditionalFormatting sqref="J97">
    <cfRule type="expression" dxfId="81" priority="101">
      <formula>AND(I96&lt;&gt;"",I97&lt;&gt;"",I96=I97)</formula>
    </cfRule>
  </conditionalFormatting>
  <conditionalFormatting sqref="P81">
    <cfRule type="expression" dxfId="80" priority="100">
      <formula>AND(O81&lt;&gt;"",O82&lt;&gt;"",O81=O82)</formula>
    </cfRule>
  </conditionalFormatting>
  <conditionalFormatting sqref="P82">
    <cfRule type="expression" dxfId="79" priority="99">
      <formula>AND(O81&lt;&gt;"",O82&lt;&gt;"",O81=O82)</formula>
    </cfRule>
  </conditionalFormatting>
  <conditionalFormatting sqref="P93">
    <cfRule type="expression" dxfId="78" priority="98">
      <formula>AND(O93&lt;&gt;"",O94&lt;&gt;"",O93=O94)</formula>
    </cfRule>
  </conditionalFormatting>
  <conditionalFormatting sqref="P94">
    <cfRule type="expression" dxfId="77" priority="97">
      <formula>AND(O93&lt;&gt;"",O94&lt;&gt;"",O93=O94)</formula>
    </cfRule>
  </conditionalFormatting>
  <conditionalFormatting sqref="S64:X64">
    <cfRule type="expression" dxfId="76" priority="58">
      <formula>R64=6</formula>
    </cfRule>
    <cfRule type="expression" dxfId="75" priority="59">
      <formula>R64=5</formula>
    </cfRule>
    <cfRule type="expression" dxfId="74" priority="60">
      <formula>R64=4</formula>
    </cfRule>
    <cfRule type="expression" dxfId="73" priority="61">
      <formula>R64=3</formula>
    </cfRule>
    <cfRule type="expression" dxfId="72" priority="62">
      <formula>R64=2</formula>
    </cfRule>
    <cfRule type="expression" dxfId="71" priority="63">
      <formula>R64=1</formula>
    </cfRule>
  </conditionalFormatting>
  <conditionalFormatting sqref="S87:X87">
    <cfRule type="expression" dxfId="70" priority="52">
      <formula>R87=6</formula>
    </cfRule>
    <cfRule type="expression" dxfId="69" priority="53">
      <formula>R87=5</formula>
    </cfRule>
    <cfRule type="expression" dxfId="68" priority="54">
      <formula>R87=4</formula>
    </cfRule>
    <cfRule type="expression" dxfId="67" priority="55">
      <formula>R87=3</formula>
    </cfRule>
    <cfRule type="expression" dxfId="66" priority="56">
      <formula>R87=2</formula>
    </cfRule>
    <cfRule type="expression" dxfId="65" priority="57">
      <formula>R87=1</formula>
    </cfRule>
  </conditionalFormatting>
  <conditionalFormatting sqref="S88:X88">
    <cfRule type="expression" dxfId="64" priority="46">
      <formula>R88=6</formula>
    </cfRule>
    <cfRule type="expression" dxfId="63" priority="47">
      <formula>R88=5</formula>
    </cfRule>
    <cfRule type="expression" dxfId="62" priority="48">
      <formula>R88=4</formula>
    </cfRule>
    <cfRule type="expression" dxfId="61" priority="49">
      <formula>R88=3</formula>
    </cfRule>
    <cfRule type="expression" dxfId="60" priority="50">
      <formula>R88=2</formula>
    </cfRule>
    <cfRule type="expression" dxfId="59" priority="51">
      <formula>R88=1</formula>
    </cfRule>
  </conditionalFormatting>
  <conditionalFormatting sqref="AC76:AH76">
    <cfRule type="expression" dxfId="58" priority="33">
      <formula>AB76=6</formula>
    </cfRule>
    <cfRule type="expression" dxfId="57" priority="34">
      <formula>AB76=5</formula>
    </cfRule>
    <cfRule type="expression" dxfId="56" priority="35">
      <formula>AB76=4</formula>
    </cfRule>
    <cfRule type="expression" dxfId="55" priority="36">
      <formula>AB76=3</formula>
    </cfRule>
    <cfRule type="expression" dxfId="54" priority="37">
      <formula>AB76=2</formula>
    </cfRule>
    <cfRule type="expression" dxfId="53" priority="38">
      <formula>AB76=1</formula>
    </cfRule>
  </conditionalFormatting>
  <conditionalFormatting sqref="AC75:AH75">
    <cfRule type="expression" dxfId="52" priority="39">
      <formula>AB75=6</formula>
    </cfRule>
    <cfRule type="expression" dxfId="51" priority="40">
      <formula>AB75=5</formula>
    </cfRule>
    <cfRule type="expression" dxfId="50" priority="42">
      <formula>AB75=4</formula>
    </cfRule>
    <cfRule type="expression" dxfId="49" priority="43">
      <formula>AB75=3</formula>
    </cfRule>
    <cfRule type="expression" dxfId="48" priority="44">
      <formula>AB75=2</formula>
    </cfRule>
    <cfRule type="expression" dxfId="47" priority="45">
      <formula>AB75=1</formula>
    </cfRule>
  </conditionalFormatting>
  <conditionalFormatting sqref="AB94:AC94">
    <cfRule type="expression" dxfId="46" priority="872">
      <formula>$AA$95=4</formula>
    </cfRule>
    <cfRule type="expression" dxfId="45" priority="873">
      <formula>$AA$95=3</formula>
    </cfRule>
    <cfRule type="expression" dxfId="44" priority="874">
      <formula>$AA$95=2</formula>
    </cfRule>
    <cfRule type="expression" dxfId="43" priority="875">
      <formula>$AA$95=1</formula>
    </cfRule>
  </conditionalFormatting>
  <conditionalFormatting sqref="Z87">
    <cfRule type="expression" dxfId="42" priority="32">
      <formula>AND(Y87&lt;&gt;"",Y88&lt;&gt;"",Y87=Y88)</formula>
    </cfRule>
  </conditionalFormatting>
  <conditionalFormatting sqref="Z88">
    <cfRule type="expression" dxfId="41" priority="31">
      <formula>AND(Y87&lt;&gt;"",Y88&lt;&gt;"",Y87=Y88)</formula>
    </cfRule>
  </conditionalFormatting>
  <conditionalFormatting sqref="AJ75">
    <cfRule type="expression" dxfId="40" priority="30">
      <formula>AND(AI75&lt;&gt;"",AI76&lt;&gt;"",AI75=AI76)</formula>
    </cfRule>
  </conditionalFormatting>
  <conditionalFormatting sqref="AJ76">
    <cfRule type="expression" dxfId="39" priority="29">
      <formula>AND(AI75&lt;&gt;"",AI76&lt;&gt;"",AI75=AI76)</formula>
    </cfRule>
  </conditionalFormatting>
  <conditionalFormatting sqref="AB90:AP92">
    <cfRule type="expression" dxfId="38" priority="27">
      <formula>$AA$94=6</formula>
    </cfRule>
    <cfRule type="expression" dxfId="37" priority="28">
      <formula>$AA$94=5</formula>
    </cfRule>
  </conditionalFormatting>
  <conditionalFormatting sqref="AB96:AC96">
    <cfRule type="expression" dxfId="36" priority="23">
      <formula>$AA$96=6</formula>
    </cfRule>
    <cfRule type="expression" dxfId="35" priority="24">
      <formula>$AA$96=5</formula>
    </cfRule>
    <cfRule type="expression" dxfId="34" priority="876">
      <formula>$AA$96=4</formula>
    </cfRule>
    <cfRule type="expression" dxfId="33" priority="877">
      <formula>$AA$96=3</formula>
    </cfRule>
    <cfRule type="expression" dxfId="32" priority="878">
      <formula>$AA$96=2</formula>
    </cfRule>
    <cfRule type="expression" dxfId="31" priority="879">
      <formula>$AA$96=1</formula>
    </cfRule>
  </conditionalFormatting>
  <conditionalFormatting sqref="AB94:AC95">
    <cfRule type="expression" dxfId="30" priority="25">
      <formula>$AA$95=6</formula>
    </cfRule>
    <cfRule type="expression" dxfId="29" priority="26">
      <formula>$AA$95=5</formula>
    </cfRule>
  </conditionalFormatting>
  <conditionalFormatting sqref="AB97:AC97">
    <cfRule type="expression" dxfId="28" priority="17">
      <formula>$AA$97=6</formula>
    </cfRule>
    <cfRule type="expression" dxfId="27" priority="18">
      <formula>$AA$97=5</formula>
    </cfRule>
    <cfRule type="expression" dxfId="26" priority="19">
      <formula>$AA$97=4</formula>
    </cfRule>
    <cfRule type="expression" dxfId="25" priority="20">
      <formula>$AA$97=3</formula>
    </cfRule>
    <cfRule type="expression" dxfId="24" priority="21">
      <formula>$AA$97=2</formula>
    </cfRule>
    <cfRule type="expression" dxfId="23" priority="22">
      <formula>$AA$97=1</formula>
    </cfRule>
  </conditionalFormatting>
  <conditionalFormatting sqref="H61">
    <cfRule type="expression" dxfId="22" priority="14">
      <formula>$G$61=6</formula>
    </cfRule>
    <cfRule type="expression" dxfId="21" priority="15">
      <formula>$G$61=5</formula>
    </cfRule>
    <cfRule type="expression" dxfId="20" priority="16">
      <formula>$G$61=2</formula>
    </cfRule>
  </conditionalFormatting>
  <conditionalFormatting sqref="H67">
    <cfRule type="expression" dxfId="19" priority="11">
      <formula>$G$67=4</formula>
    </cfRule>
    <cfRule type="expression" dxfId="18" priority="12">
      <formula>$G$67=3</formula>
    </cfRule>
    <cfRule type="expression" dxfId="17" priority="13">
      <formula>$G$67=1</formula>
    </cfRule>
  </conditionalFormatting>
  <conditionalFormatting sqref="H79">
    <cfRule type="expression" dxfId="16" priority="8">
      <formula>$G$79=6</formula>
    </cfRule>
    <cfRule type="expression" dxfId="15" priority="9">
      <formula>$G$79=2</formula>
    </cfRule>
    <cfRule type="expression" dxfId="14" priority="10">
      <formula>$G$79=1</formula>
    </cfRule>
  </conditionalFormatting>
  <conditionalFormatting sqref="H91">
    <cfRule type="expression" dxfId="13" priority="5">
      <formula>$G$91=5</formula>
    </cfRule>
    <cfRule type="expression" dxfId="12" priority="6">
      <formula>$G$91=4</formula>
    </cfRule>
    <cfRule type="expression" dxfId="11" priority="7">
      <formula>$G$91=3</formula>
    </cfRule>
  </conditionalFormatting>
  <conditionalFormatting sqref="AB88:AP92">
    <cfRule type="expression" dxfId="10" priority="4">
      <formula>$AB$90&lt;&gt;""</formula>
    </cfRule>
  </conditionalFormatting>
  <conditionalFormatting sqref="AB94:AP95">
    <cfRule type="expression" dxfId="9" priority="3">
      <formula>$AC$94&lt;&gt;""</formula>
    </cfRule>
  </conditionalFormatting>
  <conditionalFormatting sqref="AB96:AP96">
    <cfRule type="expression" dxfId="8" priority="2">
      <formula>$AC$96&lt;&gt;""</formula>
    </cfRule>
  </conditionalFormatting>
  <conditionalFormatting sqref="AB97:AP97">
    <cfRule type="expression" dxfId="7" priority="1">
      <formula>$AC$97&lt;&gt;""</formula>
    </cfRule>
  </conditionalFormatting>
  <conditionalFormatting sqref="C13:AA48">
    <cfRule type="expression" dxfId="6" priority="869">
      <formula>$R13=$S$3</formula>
    </cfRule>
    <cfRule type="expression" dxfId="5" priority="870">
      <formula>OR($H13=$N$5,$N13=$N$5)</formula>
    </cfRule>
    <cfRule type="expression" dxfId="4" priority="871">
      <formula>$E13=$N$3</formula>
    </cfRule>
  </conditionalFormatting>
  <dataValidations count="5">
    <dataValidation type="list" allowBlank="1" showInputMessage="1" showErrorMessage="1" sqref="N5">
      <formula1>Country</formula1>
    </dataValidation>
    <dataValidation type="list" allowBlank="1" showInputMessage="1" showErrorMessage="1" sqref="S3">
      <formula1>Venues</formula1>
    </dataValidation>
    <dataValidation type="list" allowBlank="1" showInputMessage="1" showErrorMessage="1" sqref="N3">
      <formula1>"A,B,C,D,E,F"</formula1>
    </dataValidation>
    <dataValidation type="list" allowBlank="1" showInputMessage="1" showErrorMessage="1" sqref="H5">
      <formula1>Cities</formula1>
    </dataValidation>
    <dataValidation type="list" allowBlank="1" showInputMessage="1" showErrorMessage="1" sqref="H3">
      <formula1>Countries</formula1>
    </dataValidation>
  </dataValidations>
  <hyperlinks>
    <hyperlink ref="AC3:AG5" r:id="rId1" display="VISIT WWW.EXCELTEMPLATE.NET FOR MORE TEMPLATES"/>
    <hyperlink ref="AC3" r:id="rId2" display="VISIT WWW.EXCELTEMPLATE.NET FOR MORE TEMPLATES AND UPDATES"/>
  </hyperlinks>
  <printOptions horizontalCentered="1" verticalCentered="1"/>
  <pageMargins left="0.31496062992125984" right="0.15748031496062992" top="0.23622047244094491" bottom="0.23622047244094491" header="0.15748031496062992" footer="0.15748031496062992"/>
  <pageSetup paperSize="8" scale="66" orientation="portrait" r:id="rId3"/>
  <headerFooter alignWithMargins="0">
    <oddFooter>&amp;L(c) 2016 - Exceltemplate.net&amp;R&amp;D - &amp;T / Name Vorname</oddFooter>
  </headerFooter>
  <rowBreaks count="1" manualBreakCount="1">
    <brk id="50" max="16383" man="1"/>
  </rowBreaks>
  <drawing r:id="rId4"/>
  <legacy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53"/>
  <sheetViews>
    <sheetView showGridLines="0" workbookViewId="0">
      <selection activeCell="Y4" sqref="Y4"/>
    </sheetView>
  </sheetViews>
  <sheetFormatPr baseColWidth="10" defaultColWidth="0" defaultRowHeight="12.75" zeroHeight="1" x14ac:dyDescent="0.2"/>
  <cols>
    <col min="1" max="50" width="3.7109375" style="2" customWidth="1"/>
    <col min="51" max="51" width="8.85546875" style="2" customWidth="1"/>
    <col min="52" max="16384" width="8.85546875" style="2" hidden="1"/>
  </cols>
  <sheetData>
    <row r="1" spans="2:50" ht="15" customHeight="1" x14ac:dyDescent="0.2"/>
    <row r="2" spans="2:50" ht="15" customHeight="1" x14ac:dyDescent="0.2">
      <c r="AA2" s="3" t="s">
        <v>4015</v>
      </c>
      <c r="AB2" s="4"/>
      <c r="AC2" s="4"/>
      <c r="AD2" s="4"/>
      <c r="AE2" s="4"/>
      <c r="AF2" s="4"/>
      <c r="AG2" s="4"/>
      <c r="AH2" s="4"/>
      <c r="AI2" s="4"/>
      <c r="AJ2" s="4"/>
      <c r="AK2" s="4"/>
      <c r="AL2" s="4"/>
      <c r="AM2" s="4"/>
      <c r="AN2" s="4"/>
      <c r="AO2" s="4"/>
      <c r="AP2" s="4"/>
      <c r="AQ2" s="4"/>
      <c r="AR2" s="4"/>
      <c r="AS2" s="4"/>
      <c r="AT2" s="4"/>
      <c r="AU2" s="4"/>
      <c r="AV2" s="4"/>
      <c r="AW2" s="4"/>
      <c r="AX2" s="4"/>
    </row>
    <row r="3" spans="2:50" ht="15" customHeight="1" x14ac:dyDescent="0.2"/>
    <row r="4" spans="2:50" ht="45" customHeight="1" x14ac:dyDescent="0.2">
      <c r="AB4" s="267" t="s">
        <v>4014</v>
      </c>
      <c r="AC4" s="268"/>
      <c r="AD4" s="268"/>
      <c r="AE4" s="268"/>
      <c r="AF4" s="268"/>
      <c r="AG4" s="268"/>
      <c r="AH4" s="268"/>
      <c r="AI4" s="268"/>
      <c r="AJ4" s="268"/>
      <c r="AK4" s="268"/>
      <c r="AL4" s="268"/>
      <c r="AM4" s="268"/>
      <c r="AN4" s="268"/>
      <c r="AO4" s="268"/>
      <c r="AP4" s="268"/>
      <c r="AQ4" s="268"/>
      <c r="AR4" s="268"/>
      <c r="AS4" s="268"/>
      <c r="AT4" s="268"/>
      <c r="AU4" s="268"/>
      <c r="AV4" s="268"/>
      <c r="AW4" s="268"/>
      <c r="AX4" s="269"/>
    </row>
    <row r="5" spans="2:50" ht="15" customHeight="1" x14ac:dyDescent="0.2">
      <c r="AB5" s="270"/>
      <c r="AC5" s="271"/>
      <c r="AD5" s="271"/>
      <c r="AE5" s="271"/>
      <c r="AF5" s="271"/>
      <c r="AG5" s="271"/>
      <c r="AH5" s="271"/>
      <c r="AI5" s="271"/>
      <c r="AJ5" s="271"/>
      <c r="AK5" s="271"/>
      <c r="AL5" s="271"/>
      <c r="AM5" s="271"/>
      <c r="AN5" s="271"/>
      <c r="AO5" s="272"/>
      <c r="AP5" s="270" t="s">
        <v>27</v>
      </c>
      <c r="AQ5" s="271"/>
      <c r="AR5" s="271"/>
      <c r="AS5" s="272"/>
      <c r="AT5" s="270" t="s">
        <v>28</v>
      </c>
      <c r="AU5" s="271"/>
      <c r="AV5" s="271"/>
      <c r="AW5" s="271"/>
      <c r="AX5" s="272"/>
    </row>
    <row r="6" spans="2:50" ht="30" customHeight="1" x14ac:dyDescent="0.2">
      <c r="AB6" s="273" t="s">
        <v>4016</v>
      </c>
      <c r="AC6" s="274"/>
      <c r="AD6" s="274"/>
      <c r="AE6" s="274"/>
      <c r="AF6" s="274"/>
      <c r="AG6" s="274"/>
      <c r="AH6" s="274"/>
      <c r="AI6" s="274"/>
      <c r="AJ6" s="274"/>
      <c r="AK6" s="274"/>
      <c r="AL6" s="274"/>
      <c r="AM6" s="274"/>
      <c r="AN6" s="274"/>
      <c r="AO6" s="275"/>
      <c r="AP6" s="273" t="s">
        <v>30</v>
      </c>
      <c r="AQ6" s="274"/>
      <c r="AR6" s="274"/>
      <c r="AS6" s="275"/>
      <c r="AT6" s="276" t="s">
        <v>31</v>
      </c>
      <c r="AU6" s="277"/>
      <c r="AV6" s="277"/>
      <c r="AW6" s="277"/>
      <c r="AX6" s="278"/>
    </row>
    <row r="7" spans="2:50" ht="30" customHeight="1" x14ac:dyDescent="0.2">
      <c r="AB7" s="267" t="s">
        <v>4017</v>
      </c>
      <c r="AC7" s="268"/>
      <c r="AD7" s="268"/>
      <c r="AE7" s="268"/>
      <c r="AF7" s="268"/>
      <c r="AG7" s="268"/>
      <c r="AH7" s="268"/>
      <c r="AI7" s="268"/>
      <c r="AJ7" s="268"/>
      <c r="AK7" s="268"/>
      <c r="AL7" s="268"/>
      <c r="AM7" s="268"/>
      <c r="AN7" s="268"/>
      <c r="AO7" s="269"/>
      <c r="AP7" s="273" t="s">
        <v>4132</v>
      </c>
      <c r="AQ7" s="274"/>
      <c r="AR7" s="274"/>
      <c r="AS7" s="275"/>
      <c r="AT7" s="276"/>
      <c r="AU7" s="277"/>
      <c r="AV7" s="277"/>
      <c r="AW7" s="277"/>
      <c r="AX7" s="278"/>
    </row>
    <row r="8" spans="2:50" ht="30" customHeight="1" x14ac:dyDescent="0.2">
      <c r="AB8" s="267" t="s">
        <v>4019</v>
      </c>
      <c r="AC8" s="268"/>
      <c r="AD8" s="268"/>
      <c r="AE8" s="268"/>
      <c r="AF8" s="268"/>
      <c r="AG8" s="268"/>
      <c r="AH8" s="268"/>
      <c r="AI8" s="268"/>
      <c r="AJ8" s="268"/>
      <c r="AK8" s="268"/>
      <c r="AL8" s="268"/>
      <c r="AM8" s="268"/>
      <c r="AN8" s="268"/>
      <c r="AO8" s="269"/>
      <c r="AP8" s="273" t="s">
        <v>4134</v>
      </c>
      <c r="AQ8" s="274"/>
      <c r="AR8" s="274"/>
      <c r="AS8" s="275"/>
      <c r="AT8" s="276"/>
      <c r="AU8" s="277"/>
      <c r="AV8" s="277"/>
      <c r="AW8" s="277"/>
      <c r="AX8" s="278"/>
    </row>
    <row r="9" spans="2:50" ht="15" customHeight="1" x14ac:dyDescent="0.2"/>
    <row r="10" spans="2:50" ht="15" customHeight="1" x14ac:dyDescent="0.2">
      <c r="B10" s="3" t="s">
        <v>4011</v>
      </c>
      <c r="C10" s="4"/>
      <c r="D10" s="4"/>
      <c r="E10" s="4"/>
      <c r="F10" s="4"/>
      <c r="G10" s="4"/>
      <c r="H10" s="4"/>
      <c r="I10" s="4"/>
      <c r="J10" s="4"/>
      <c r="K10" s="4"/>
      <c r="L10" s="4"/>
      <c r="M10" s="4"/>
      <c r="N10" s="4"/>
      <c r="O10" s="4"/>
      <c r="P10" s="4"/>
      <c r="Q10" s="4"/>
      <c r="R10" s="4"/>
      <c r="S10" s="4"/>
      <c r="T10" s="4"/>
      <c r="U10" s="4"/>
      <c r="V10" s="4"/>
      <c r="W10" s="4"/>
      <c r="X10" s="4"/>
      <c r="Y10" s="4"/>
      <c r="AA10" s="3" t="s">
        <v>4020</v>
      </c>
      <c r="AB10" s="4"/>
      <c r="AC10" s="4"/>
      <c r="AD10" s="4"/>
      <c r="AE10" s="4"/>
      <c r="AF10" s="4"/>
      <c r="AG10" s="4"/>
      <c r="AH10" s="4"/>
      <c r="AI10" s="4"/>
      <c r="AJ10" s="4"/>
      <c r="AK10" s="4"/>
      <c r="AL10" s="4"/>
      <c r="AM10" s="4"/>
      <c r="AN10" s="4"/>
      <c r="AO10" s="4"/>
      <c r="AP10" s="4"/>
      <c r="AQ10" s="4"/>
      <c r="AR10" s="4"/>
      <c r="AS10" s="4"/>
      <c r="AT10" s="4"/>
      <c r="AU10" s="4"/>
      <c r="AV10" s="4"/>
      <c r="AW10" s="4"/>
      <c r="AX10" s="4"/>
    </row>
    <row r="11" spans="2:50" ht="15" customHeight="1" x14ac:dyDescent="0.2"/>
    <row r="12" spans="2:50" ht="45" customHeight="1" x14ac:dyDescent="0.2">
      <c r="C12" s="267" t="s">
        <v>4012</v>
      </c>
      <c r="D12" s="268"/>
      <c r="E12" s="268"/>
      <c r="F12" s="268"/>
      <c r="G12" s="268"/>
      <c r="H12" s="268"/>
      <c r="I12" s="268"/>
      <c r="J12" s="268"/>
      <c r="K12" s="268"/>
      <c r="L12" s="268"/>
      <c r="M12" s="268"/>
      <c r="N12" s="268"/>
      <c r="O12" s="268"/>
      <c r="P12" s="268"/>
      <c r="Q12" s="268"/>
      <c r="R12" s="268"/>
      <c r="S12" s="268"/>
      <c r="T12" s="268"/>
      <c r="U12" s="268"/>
      <c r="V12" s="268"/>
      <c r="W12" s="268"/>
      <c r="X12" s="268"/>
      <c r="Y12" s="269"/>
      <c r="AB12" s="267" t="s">
        <v>4012</v>
      </c>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9"/>
    </row>
    <row r="13" spans="2:50" ht="15" customHeight="1" x14ac:dyDescent="0.2">
      <c r="C13" s="270"/>
      <c r="D13" s="271"/>
      <c r="E13" s="271"/>
      <c r="F13" s="271"/>
      <c r="G13" s="271"/>
      <c r="H13" s="271"/>
      <c r="I13" s="271"/>
      <c r="J13" s="271"/>
      <c r="K13" s="271"/>
      <c r="L13" s="271"/>
      <c r="M13" s="271"/>
      <c r="N13" s="271"/>
      <c r="O13" s="271"/>
      <c r="P13" s="272"/>
      <c r="Q13" s="270" t="s">
        <v>27</v>
      </c>
      <c r="R13" s="271"/>
      <c r="S13" s="271"/>
      <c r="T13" s="272"/>
      <c r="U13" s="270" t="s">
        <v>28</v>
      </c>
      <c r="V13" s="271"/>
      <c r="W13" s="271"/>
      <c r="X13" s="271"/>
      <c r="Y13" s="272"/>
      <c r="AB13" s="270"/>
      <c r="AC13" s="271"/>
      <c r="AD13" s="271"/>
      <c r="AE13" s="271"/>
      <c r="AF13" s="271"/>
      <c r="AG13" s="271"/>
      <c r="AH13" s="271"/>
      <c r="AI13" s="271"/>
      <c r="AJ13" s="271"/>
      <c r="AK13" s="271"/>
      <c r="AL13" s="271"/>
      <c r="AM13" s="271"/>
      <c r="AN13" s="271"/>
      <c r="AO13" s="272"/>
      <c r="AP13" s="270" t="s">
        <v>27</v>
      </c>
      <c r="AQ13" s="271"/>
      <c r="AR13" s="271"/>
      <c r="AS13" s="272"/>
      <c r="AT13" s="270" t="s">
        <v>28</v>
      </c>
      <c r="AU13" s="271"/>
      <c r="AV13" s="271"/>
      <c r="AW13" s="271"/>
      <c r="AX13" s="272"/>
    </row>
    <row r="14" spans="2:50" ht="30" customHeight="1" x14ac:dyDescent="0.2">
      <c r="C14" s="273" t="s">
        <v>443</v>
      </c>
      <c r="D14" s="274"/>
      <c r="E14" s="274"/>
      <c r="F14" s="274"/>
      <c r="G14" s="274"/>
      <c r="H14" s="274"/>
      <c r="I14" s="274"/>
      <c r="J14" s="274"/>
      <c r="K14" s="274"/>
      <c r="L14" s="274"/>
      <c r="M14" s="274"/>
      <c r="N14" s="274"/>
      <c r="O14" s="274"/>
      <c r="P14" s="275"/>
      <c r="Q14" s="273" t="s">
        <v>30</v>
      </c>
      <c r="R14" s="274"/>
      <c r="S14" s="274"/>
      <c r="T14" s="275"/>
      <c r="U14" s="276" t="s">
        <v>31</v>
      </c>
      <c r="V14" s="277"/>
      <c r="W14" s="277"/>
      <c r="X14" s="277"/>
      <c r="Y14" s="278"/>
      <c r="AB14" s="273" t="s">
        <v>4021</v>
      </c>
      <c r="AC14" s="274"/>
      <c r="AD14" s="274"/>
      <c r="AE14" s="274"/>
      <c r="AF14" s="274"/>
      <c r="AG14" s="274"/>
      <c r="AH14" s="274"/>
      <c r="AI14" s="274"/>
      <c r="AJ14" s="274"/>
      <c r="AK14" s="274"/>
      <c r="AL14" s="274"/>
      <c r="AM14" s="274"/>
      <c r="AN14" s="274"/>
      <c r="AO14" s="275"/>
      <c r="AP14" s="273" t="s">
        <v>30</v>
      </c>
      <c r="AQ14" s="274"/>
      <c r="AR14" s="274"/>
      <c r="AS14" s="275"/>
      <c r="AT14" s="276" t="s">
        <v>31</v>
      </c>
      <c r="AU14" s="277"/>
      <c r="AV14" s="277"/>
      <c r="AW14" s="277"/>
      <c r="AX14" s="278"/>
    </row>
    <row r="15" spans="2:50" ht="30" customHeight="1" x14ac:dyDescent="0.2">
      <c r="C15" s="267" t="s">
        <v>4013</v>
      </c>
      <c r="D15" s="268"/>
      <c r="E15" s="268"/>
      <c r="F15" s="268"/>
      <c r="G15" s="268"/>
      <c r="H15" s="268"/>
      <c r="I15" s="268"/>
      <c r="J15" s="268"/>
      <c r="K15" s="268"/>
      <c r="L15" s="268"/>
      <c r="M15" s="268"/>
      <c r="N15" s="268"/>
      <c r="O15" s="268"/>
      <c r="P15" s="269"/>
      <c r="Q15" s="273" t="s">
        <v>43</v>
      </c>
      <c r="R15" s="274"/>
      <c r="S15" s="274"/>
      <c r="T15" s="275"/>
      <c r="U15" s="276"/>
      <c r="V15" s="277"/>
      <c r="W15" s="277"/>
      <c r="X15" s="277"/>
      <c r="Y15" s="278"/>
      <c r="AB15" s="267" t="s">
        <v>4022</v>
      </c>
      <c r="AC15" s="268"/>
      <c r="AD15" s="268"/>
      <c r="AE15" s="268"/>
      <c r="AF15" s="268"/>
      <c r="AG15" s="268"/>
      <c r="AH15" s="268"/>
      <c r="AI15" s="268"/>
      <c r="AJ15" s="268"/>
      <c r="AK15" s="268"/>
      <c r="AL15" s="268"/>
      <c r="AM15" s="268"/>
      <c r="AN15" s="268"/>
      <c r="AO15" s="269"/>
      <c r="AP15" s="273" t="s">
        <v>4018</v>
      </c>
      <c r="AQ15" s="274"/>
      <c r="AR15" s="274"/>
      <c r="AS15" s="275"/>
      <c r="AT15" s="276"/>
      <c r="AU15" s="277"/>
      <c r="AV15" s="277"/>
      <c r="AW15" s="277"/>
      <c r="AX15" s="278"/>
    </row>
    <row r="16" spans="2:50" ht="15" customHeight="1" x14ac:dyDescent="0.2"/>
    <row r="17" spans="2:50" ht="15" customHeight="1" x14ac:dyDescent="0.2">
      <c r="B17" s="3" t="s">
        <v>4135</v>
      </c>
      <c r="C17" s="4"/>
      <c r="D17" s="4"/>
      <c r="E17" s="4"/>
      <c r="F17" s="4"/>
      <c r="G17" s="4"/>
      <c r="H17" s="4"/>
      <c r="I17" s="4"/>
      <c r="J17" s="4"/>
      <c r="K17" s="4"/>
      <c r="L17" s="4"/>
      <c r="M17" s="4"/>
      <c r="N17" s="4"/>
      <c r="O17" s="4"/>
      <c r="P17" s="4"/>
      <c r="Q17" s="4"/>
      <c r="R17" s="4"/>
      <c r="S17" s="4"/>
      <c r="T17" s="4"/>
      <c r="U17" s="4"/>
      <c r="V17" s="4"/>
      <c r="W17" s="4"/>
      <c r="X17" s="4"/>
      <c r="Y17" s="4"/>
      <c r="AA17" s="3" t="s">
        <v>78</v>
      </c>
      <c r="AB17" s="4"/>
      <c r="AC17" s="4"/>
      <c r="AD17" s="4"/>
      <c r="AE17" s="4"/>
      <c r="AF17" s="4"/>
      <c r="AG17" s="4"/>
      <c r="AH17" s="4"/>
      <c r="AI17" s="4"/>
      <c r="AJ17" s="4"/>
      <c r="AK17" s="4"/>
      <c r="AL17" s="4"/>
      <c r="AM17" s="4"/>
      <c r="AN17" s="4"/>
      <c r="AO17" s="4"/>
      <c r="AP17" s="4"/>
      <c r="AQ17" s="4"/>
      <c r="AR17" s="4"/>
      <c r="AS17" s="4"/>
      <c r="AT17" s="4"/>
      <c r="AU17" s="4"/>
      <c r="AV17" s="4"/>
      <c r="AW17" s="4"/>
      <c r="AX17" s="4"/>
    </row>
    <row r="18" spans="2:50" ht="15" customHeight="1" x14ac:dyDescent="0.2"/>
    <row r="19" spans="2:50" ht="45" customHeight="1" x14ac:dyDescent="0.2">
      <c r="C19" s="267" t="s">
        <v>4138</v>
      </c>
      <c r="D19" s="268"/>
      <c r="E19" s="268"/>
      <c r="F19" s="268"/>
      <c r="G19" s="268"/>
      <c r="H19" s="268"/>
      <c r="I19" s="268"/>
      <c r="J19" s="268"/>
      <c r="K19" s="268"/>
      <c r="L19" s="268"/>
      <c r="M19" s="268"/>
      <c r="N19" s="268"/>
      <c r="O19" s="268"/>
      <c r="P19" s="268"/>
      <c r="Q19" s="268"/>
      <c r="R19" s="268"/>
      <c r="S19" s="268"/>
      <c r="T19" s="268"/>
      <c r="U19" s="268"/>
      <c r="V19" s="268"/>
      <c r="W19" s="268"/>
      <c r="X19" s="268"/>
      <c r="Y19" s="269"/>
      <c r="AB19" s="267" t="s">
        <v>81</v>
      </c>
      <c r="AC19" s="268"/>
      <c r="AD19" s="268"/>
      <c r="AE19" s="268"/>
      <c r="AF19" s="268"/>
      <c r="AG19" s="268"/>
      <c r="AH19" s="268"/>
      <c r="AI19" s="268"/>
      <c r="AJ19" s="268"/>
      <c r="AK19" s="268"/>
      <c r="AL19" s="268"/>
      <c r="AM19" s="268"/>
      <c r="AN19" s="268"/>
      <c r="AO19" s="268"/>
      <c r="AP19" s="268"/>
      <c r="AQ19" s="268"/>
      <c r="AR19" s="268"/>
      <c r="AS19" s="268"/>
      <c r="AT19" s="268"/>
      <c r="AU19" s="268"/>
      <c r="AV19" s="268"/>
      <c r="AW19" s="268"/>
      <c r="AX19" s="269"/>
    </row>
    <row r="20" spans="2:50" ht="15" customHeight="1" x14ac:dyDescent="0.2">
      <c r="C20" s="270"/>
      <c r="D20" s="271"/>
      <c r="E20" s="271"/>
      <c r="F20" s="271"/>
      <c r="G20" s="271"/>
      <c r="H20" s="271"/>
      <c r="I20" s="271"/>
      <c r="J20" s="271"/>
      <c r="K20" s="271"/>
      <c r="L20" s="271"/>
      <c r="M20" s="271"/>
      <c r="N20" s="271"/>
      <c r="O20" s="271"/>
      <c r="P20" s="272"/>
      <c r="Q20" s="270" t="s">
        <v>27</v>
      </c>
      <c r="R20" s="271"/>
      <c r="S20" s="271"/>
      <c r="T20" s="272"/>
      <c r="U20" s="270" t="s">
        <v>28</v>
      </c>
      <c r="V20" s="271"/>
      <c r="W20" s="271"/>
      <c r="X20" s="271"/>
      <c r="Y20" s="272"/>
      <c r="AB20" s="270"/>
      <c r="AC20" s="271"/>
      <c r="AD20" s="271"/>
      <c r="AE20" s="271"/>
      <c r="AF20" s="271"/>
      <c r="AG20" s="271"/>
      <c r="AH20" s="271"/>
      <c r="AI20" s="271"/>
      <c r="AJ20" s="271"/>
      <c r="AK20" s="271"/>
      <c r="AL20" s="271"/>
      <c r="AM20" s="271"/>
      <c r="AN20" s="271"/>
      <c r="AO20" s="272"/>
      <c r="AP20" s="270" t="s">
        <v>27</v>
      </c>
      <c r="AQ20" s="271"/>
      <c r="AR20" s="271"/>
      <c r="AS20" s="272"/>
      <c r="AT20" s="270" t="s">
        <v>28</v>
      </c>
      <c r="AU20" s="271"/>
      <c r="AV20" s="271"/>
      <c r="AW20" s="271"/>
      <c r="AX20" s="272"/>
    </row>
    <row r="21" spans="2:50" ht="30" customHeight="1" x14ac:dyDescent="0.2">
      <c r="C21" s="273" t="s">
        <v>4136</v>
      </c>
      <c r="D21" s="274"/>
      <c r="E21" s="274"/>
      <c r="F21" s="274"/>
      <c r="G21" s="274"/>
      <c r="H21" s="274"/>
      <c r="I21" s="274"/>
      <c r="J21" s="274"/>
      <c r="K21" s="274"/>
      <c r="L21" s="274"/>
      <c r="M21" s="274"/>
      <c r="N21" s="274"/>
      <c r="O21" s="274"/>
      <c r="P21" s="275"/>
      <c r="Q21" s="273" t="s">
        <v>30</v>
      </c>
      <c r="R21" s="274"/>
      <c r="S21" s="274"/>
      <c r="T21" s="275"/>
      <c r="U21" s="276" t="s">
        <v>31</v>
      </c>
      <c r="V21" s="277"/>
      <c r="W21" s="277"/>
      <c r="X21" s="277"/>
      <c r="Y21" s="278"/>
      <c r="AB21" s="273" t="s">
        <v>82</v>
      </c>
      <c r="AC21" s="274"/>
      <c r="AD21" s="274"/>
      <c r="AE21" s="274"/>
      <c r="AF21" s="274"/>
      <c r="AG21" s="274"/>
      <c r="AH21" s="274"/>
      <c r="AI21" s="274"/>
      <c r="AJ21" s="274"/>
      <c r="AK21" s="274"/>
      <c r="AL21" s="274"/>
      <c r="AM21" s="274"/>
      <c r="AN21" s="274"/>
      <c r="AO21" s="275"/>
      <c r="AP21" s="273" t="s">
        <v>30</v>
      </c>
      <c r="AQ21" s="274"/>
      <c r="AR21" s="274"/>
      <c r="AS21" s="275"/>
      <c r="AT21" s="276" t="s">
        <v>31</v>
      </c>
      <c r="AU21" s="277"/>
      <c r="AV21" s="277"/>
      <c r="AW21" s="277"/>
      <c r="AX21" s="278"/>
    </row>
    <row r="22" spans="2:50" ht="30" customHeight="1" x14ac:dyDescent="0.2">
      <c r="C22" s="267" t="s">
        <v>4137</v>
      </c>
      <c r="D22" s="268"/>
      <c r="E22" s="268"/>
      <c r="F22" s="268"/>
      <c r="G22" s="268"/>
      <c r="H22" s="268"/>
      <c r="I22" s="268"/>
      <c r="J22" s="268"/>
      <c r="K22" s="268"/>
      <c r="L22" s="268"/>
      <c r="M22" s="268"/>
      <c r="N22" s="268"/>
      <c r="O22" s="268"/>
      <c r="P22" s="269"/>
      <c r="Q22" s="273" t="s">
        <v>4133</v>
      </c>
      <c r="R22" s="274"/>
      <c r="S22" s="274"/>
      <c r="T22" s="275"/>
      <c r="U22" s="303"/>
      <c r="V22" s="304"/>
      <c r="W22" s="304"/>
      <c r="X22" s="304"/>
      <c r="Y22" s="305"/>
      <c r="AB22" s="267" t="s">
        <v>83</v>
      </c>
      <c r="AC22" s="268"/>
      <c r="AD22" s="268"/>
      <c r="AE22" s="268"/>
      <c r="AF22" s="268"/>
      <c r="AG22" s="268"/>
      <c r="AH22" s="268"/>
      <c r="AI22" s="268"/>
      <c r="AJ22" s="268"/>
      <c r="AK22" s="268"/>
      <c r="AL22" s="268"/>
      <c r="AM22" s="268"/>
      <c r="AN22" s="268"/>
      <c r="AO22" s="269"/>
      <c r="AP22" s="273" t="s">
        <v>90</v>
      </c>
      <c r="AQ22" s="274"/>
      <c r="AR22" s="274"/>
      <c r="AS22" s="275"/>
      <c r="AT22" s="276"/>
      <c r="AU22" s="277"/>
      <c r="AV22" s="277"/>
      <c r="AW22" s="277"/>
      <c r="AX22" s="278"/>
    </row>
    <row r="23" spans="2:50" x14ac:dyDescent="0.2"/>
    <row r="24" spans="2:50" x14ac:dyDescent="0.2">
      <c r="B24" s="3" t="s">
        <v>76</v>
      </c>
      <c r="C24" s="4"/>
      <c r="D24" s="4"/>
      <c r="E24" s="4"/>
      <c r="F24" s="4"/>
      <c r="G24" s="4"/>
      <c r="H24" s="4"/>
      <c r="I24" s="4"/>
      <c r="J24" s="4"/>
      <c r="K24" s="4"/>
      <c r="L24" s="4"/>
      <c r="M24" s="4"/>
      <c r="N24" s="4"/>
      <c r="O24" s="4"/>
      <c r="P24" s="4"/>
      <c r="Q24" s="4"/>
      <c r="R24" s="4"/>
      <c r="S24" s="4"/>
      <c r="T24" s="4"/>
      <c r="U24" s="4"/>
      <c r="V24" s="4"/>
      <c r="W24" s="4"/>
      <c r="X24" s="4"/>
      <c r="Y24" s="4"/>
      <c r="AA24" s="3" t="s">
        <v>77</v>
      </c>
      <c r="AB24" s="4"/>
      <c r="AC24" s="4"/>
      <c r="AD24" s="4"/>
      <c r="AE24" s="4"/>
      <c r="AF24" s="4"/>
      <c r="AG24" s="4"/>
      <c r="AH24" s="4"/>
      <c r="AI24" s="4"/>
      <c r="AJ24" s="4"/>
      <c r="AK24" s="4"/>
      <c r="AL24" s="4"/>
      <c r="AM24" s="4"/>
      <c r="AN24" s="4"/>
      <c r="AO24" s="4"/>
      <c r="AP24" s="4"/>
      <c r="AQ24" s="4"/>
      <c r="AR24" s="4"/>
      <c r="AS24" s="4"/>
      <c r="AT24" s="4"/>
      <c r="AU24" s="4"/>
      <c r="AV24" s="4"/>
      <c r="AW24" s="4"/>
      <c r="AX24" s="4"/>
    </row>
    <row r="25" spans="2:50" x14ac:dyDescent="0.2"/>
    <row r="26" spans="2:50" ht="45" customHeight="1" x14ac:dyDescent="0.2">
      <c r="C26" s="267" t="s">
        <v>84</v>
      </c>
      <c r="D26" s="268"/>
      <c r="E26" s="268"/>
      <c r="F26" s="268"/>
      <c r="G26" s="268"/>
      <c r="H26" s="268"/>
      <c r="I26" s="268"/>
      <c r="J26" s="268"/>
      <c r="K26" s="268"/>
      <c r="L26" s="268"/>
      <c r="M26" s="268"/>
      <c r="N26" s="268"/>
      <c r="O26" s="268"/>
      <c r="P26" s="268"/>
      <c r="Q26" s="268"/>
      <c r="R26" s="268"/>
      <c r="S26" s="268"/>
      <c r="T26" s="268"/>
      <c r="U26" s="268"/>
      <c r="V26" s="268"/>
      <c r="W26" s="268"/>
      <c r="X26" s="268"/>
      <c r="Y26" s="269"/>
      <c r="AB26" s="267" t="s">
        <v>85</v>
      </c>
      <c r="AC26" s="268"/>
      <c r="AD26" s="268"/>
      <c r="AE26" s="268"/>
      <c r="AF26" s="268"/>
      <c r="AG26" s="268"/>
      <c r="AH26" s="268"/>
      <c r="AI26" s="268"/>
      <c r="AJ26" s="268"/>
      <c r="AK26" s="268"/>
      <c r="AL26" s="268"/>
      <c r="AM26" s="268"/>
      <c r="AN26" s="268"/>
      <c r="AO26" s="268"/>
      <c r="AP26" s="268"/>
      <c r="AQ26" s="268"/>
      <c r="AR26" s="268"/>
      <c r="AS26" s="268"/>
      <c r="AT26" s="268"/>
      <c r="AU26" s="268"/>
      <c r="AV26" s="268"/>
      <c r="AW26" s="268"/>
      <c r="AX26" s="269"/>
    </row>
    <row r="27" spans="2:50" x14ac:dyDescent="0.2">
      <c r="C27" s="270"/>
      <c r="D27" s="271"/>
      <c r="E27" s="271"/>
      <c r="F27" s="271"/>
      <c r="G27" s="271"/>
      <c r="H27" s="271"/>
      <c r="I27" s="271"/>
      <c r="J27" s="271"/>
      <c r="K27" s="271"/>
      <c r="L27" s="271"/>
      <c r="M27" s="271"/>
      <c r="N27" s="271"/>
      <c r="O27" s="271"/>
      <c r="P27" s="272"/>
      <c r="Q27" s="270" t="s">
        <v>27</v>
      </c>
      <c r="R27" s="271"/>
      <c r="S27" s="271"/>
      <c r="T27" s="272"/>
      <c r="U27" s="270" t="s">
        <v>28</v>
      </c>
      <c r="V27" s="271"/>
      <c r="W27" s="271"/>
      <c r="X27" s="271"/>
      <c r="Y27" s="272"/>
      <c r="AB27" s="270"/>
      <c r="AC27" s="271"/>
      <c r="AD27" s="271"/>
      <c r="AE27" s="271"/>
      <c r="AF27" s="271"/>
      <c r="AG27" s="271"/>
      <c r="AH27" s="271"/>
      <c r="AI27" s="271"/>
      <c r="AJ27" s="271"/>
      <c r="AK27" s="271"/>
      <c r="AL27" s="271"/>
      <c r="AM27" s="271"/>
      <c r="AN27" s="271"/>
      <c r="AO27" s="272"/>
      <c r="AP27" s="270" t="s">
        <v>27</v>
      </c>
      <c r="AQ27" s="271"/>
      <c r="AR27" s="271"/>
      <c r="AS27" s="272"/>
      <c r="AT27" s="270" t="s">
        <v>28</v>
      </c>
      <c r="AU27" s="271"/>
      <c r="AV27" s="271"/>
      <c r="AW27" s="271"/>
      <c r="AX27" s="272"/>
    </row>
    <row r="28" spans="2:50" ht="30" customHeight="1" x14ac:dyDescent="0.2">
      <c r="C28" s="267" t="s">
        <v>86</v>
      </c>
      <c r="D28" s="268"/>
      <c r="E28" s="268"/>
      <c r="F28" s="268"/>
      <c r="G28" s="268"/>
      <c r="H28" s="268"/>
      <c r="I28" s="268"/>
      <c r="J28" s="268"/>
      <c r="K28" s="268"/>
      <c r="L28" s="268"/>
      <c r="M28" s="268"/>
      <c r="N28" s="268"/>
      <c r="O28" s="268"/>
      <c r="P28" s="269"/>
      <c r="Q28" s="273" t="s">
        <v>30</v>
      </c>
      <c r="R28" s="274"/>
      <c r="S28" s="274"/>
      <c r="T28" s="275"/>
      <c r="U28" s="276" t="s">
        <v>31</v>
      </c>
      <c r="V28" s="277"/>
      <c r="W28" s="277"/>
      <c r="X28" s="277"/>
      <c r="Y28" s="278"/>
      <c r="AB28" s="273" t="s">
        <v>88</v>
      </c>
      <c r="AC28" s="274"/>
      <c r="AD28" s="274"/>
      <c r="AE28" s="274"/>
      <c r="AF28" s="274"/>
      <c r="AG28" s="274"/>
      <c r="AH28" s="274"/>
      <c r="AI28" s="274"/>
      <c r="AJ28" s="274"/>
      <c r="AK28" s="274"/>
      <c r="AL28" s="274"/>
      <c r="AM28" s="274"/>
      <c r="AN28" s="274"/>
      <c r="AO28" s="275"/>
      <c r="AP28" s="273" t="s">
        <v>30</v>
      </c>
      <c r="AQ28" s="274"/>
      <c r="AR28" s="274"/>
      <c r="AS28" s="275"/>
      <c r="AT28" s="276" t="s">
        <v>31</v>
      </c>
      <c r="AU28" s="277"/>
      <c r="AV28" s="277"/>
      <c r="AW28" s="277"/>
      <c r="AX28" s="278"/>
    </row>
    <row r="29" spans="2:50" ht="30" customHeight="1" x14ac:dyDescent="0.2">
      <c r="C29" s="267" t="s">
        <v>87</v>
      </c>
      <c r="D29" s="268"/>
      <c r="E29" s="268"/>
      <c r="F29" s="268"/>
      <c r="G29" s="268"/>
      <c r="H29" s="268"/>
      <c r="I29" s="268"/>
      <c r="J29" s="268"/>
      <c r="K29" s="268"/>
      <c r="L29" s="268"/>
      <c r="M29" s="268"/>
      <c r="N29" s="268"/>
      <c r="O29" s="268"/>
      <c r="P29" s="269"/>
      <c r="Q29" s="273" t="s">
        <v>90</v>
      </c>
      <c r="R29" s="274"/>
      <c r="S29" s="274"/>
      <c r="T29" s="275"/>
      <c r="U29" s="276"/>
      <c r="V29" s="277"/>
      <c r="W29" s="277"/>
      <c r="X29" s="277"/>
      <c r="Y29" s="278"/>
      <c r="AB29" s="267" t="s">
        <v>89</v>
      </c>
      <c r="AC29" s="268"/>
      <c r="AD29" s="268"/>
      <c r="AE29" s="268"/>
      <c r="AF29" s="268"/>
      <c r="AG29" s="268"/>
      <c r="AH29" s="268"/>
      <c r="AI29" s="268"/>
      <c r="AJ29" s="268"/>
      <c r="AK29" s="268"/>
      <c r="AL29" s="268"/>
      <c r="AM29" s="268"/>
      <c r="AN29" s="268"/>
      <c r="AO29" s="269"/>
      <c r="AP29" s="273" t="s">
        <v>90</v>
      </c>
      <c r="AQ29" s="274"/>
      <c r="AR29" s="274"/>
      <c r="AS29" s="275"/>
      <c r="AT29" s="276"/>
      <c r="AU29" s="277"/>
      <c r="AV29" s="277"/>
      <c r="AW29" s="277"/>
      <c r="AX29" s="278"/>
    </row>
    <row r="30" spans="2:50" x14ac:dyDescent="0.2"/>
    <row r="31" spans="2:50" ht="15" x14ac:dyDescent="0.2">
      <c r="B31" s="3" t="s">
        <v>25</v>
      </c>
      <c r="C31" s="4"/>
      <c r="D31" s="4"/>
      <c r="E31" s="4"/>
      <c r="F31" s="4"/>
      <c r="G31" s="4"/>
      <c r="H31" s="4"/>
      <c r="I31" s="4"/>
      <c r="J31" s="4"/>
      <c r="K31" s="4"/>
      <c r="L31" s="4"/>
      <c r="M31" s="4"/>
      <c r="N31" s="4"/>
      <c r="O31" s="4"/>
      <c r="P31" s="4"/>
      <c r="Q31" s="4"/>
      <c r="R31" s="4"/>
      <c r="S31" s="4"/>
      <c r="T31" s="4"/>
      <c r="U31" s="4"/>
      <c r="V31" s="4"/>
      <c r="W31" s="4"/>
      <c r="X31" s="4"/>
      <c r="Y31" s="4"/>
      <c r="AA31" s="10" t="s">
        <v>37</v>
      </c>
      <c r="AB31" s="215"/>
      <c r="AC31" s="215"/>
      <c r="AD31" s="215"/>
      <c r="AE31" s="215"/>
      <c r="AF31" s="215"/>
      <c r="AG31" s="215"/>
      <c r="AH31" s="215"/>
      <c r="AI31" s="215"/>
      <c r="AJ31" s="215"/>
      <c r="AK31" s="215"/>
      <c r="AL31" s="215"/>
      <c r="AM31" s="215"/>
      <c r="AN31" s="215"/>
      <c r="AO31" s="216"/>
      <c r="AP31" s="216"/>
      <c r="AQ31" s="216"/>
      <c r="AR31" s="216"/>
      <c r="AS31" s="217"/>
      <c r="AT31" s="217"/>
      <c r="AU31" s="217"/>
      <c r="AV31" s="217"/>
      <c r="AW31" s="217"/>
      <c r="AX31" s="4"/>
    </row>
    <row r="32" spans="2:50" ht="15" x14ac:dyDescent="0.2">
      <c r="B32" s="5"/>
      <c r="AA32" s="11"/>
      <c r="AB32" s="6"/>
      <c r="AC32" s="6"/>
      <c r="AD32" s="6"/>
      <c r="AE32" s="6"/>
      <c r="AF32" s="6"/>
      <c r="AG32" s="6"/>
      <c r="AH32" s="6"/>
      <c r="AI32" s="6"/>
      <c r="AJ32" s="6"/>
      <c r="AK32" s="6"/>
      <c r="AL32" s="6"/>
      <c r="AM32" s="6"/>
      <c r="AN32" s="6"/>
      <c r="AO32" s="8"/>
      <c r="AP32" s="8"/>
      <c r="AQ32" s="8"/>
      <c r="AR32" s="8"/>
      <c r="AS32" s="9"/>
      <c r="AT32" s="9"/>
      <c r="AU32" s="9"/>
      <c r="AV32" s="9"/>
      <c r="AW32" s="9"/>
    </row>
    <row r="33" spans="2:50" ht="45" customHeight="1" x14ac:dyDescent="0.2">
      <c r="B33" s="5"/>
      <c r="C33" s="267" t="s">
        <v>26</v>
      </c>
      <c r="D33" s="268"/>
      <c r="E33" s="268"/>
      <c r="F33" s="268"/>
      <c r="G33" s="268"/>
      <c r="H33" s="268"/>
      <c r="I33" s="268"/>
      <c r="J33" s="268"/>
      <c r="K33" s="268"/>
      <c r="L33" s="268"/>
      <c r="M33" s="268"/>
      <c r="N33" s="268"/>
      <c r="O33" s="268"/>
      <c r="P33" s="268"/>
      <c r="Q33" s="268"/>
      <c r="R33" s="268"/>
      <c r="S33" s="268"/>
      <c r="T33" s="268"/>
      <c r="U33" s="268"/>
      <c r="V33" s="268"/>
      <c r="W33" s="268"/>
      <c r="X33" s="268"/>
      <c r="Y33" s="269"/>
      <c r="AA33" s="12"/>
      <c r="AB33" s="267" t="s">
        <v>38</v>
      </c>
      <c r="AC33" s="268"/>
      <c r="AD33" s="268"/>
      <c r="AE33" s="268"/>
      <c r="AF33" s="268"/>
      <c r="AG33" s="268"/>
      <c r="AH33" s="268"/>
      <c r="AI33" s="268"/>
      <c r="AJ33" s="268"/>
      <c r="AK33" s="268"/>
      <c r="AL33" s="268"/>
      <c r="AM33" s="268"/>
      <c r="AN33" s="268"/>
      <c r="AO33" s="268"/>
      <c r="AP33" s="268"/>
      <c r="AQ33" s="268"/>
      <c r="AR33" s="268"/>
      <c r="AS33" s="268"/>
      <c r="AT33" s="268"/>
      <c r="AU33" s="268"/>
      <c r="AV33" s="268"/>
      <c r="AW33" s="268"/>
      <c r="AX33" s="269"/>
    </row>
    <row r="34" spans="2:50" x14ac:dyDescent="0.2">
      <c r="C34" s="270"/>
      <c r="D34" s="271"/>
      <c r="E34" s="271"/>
      <c r="F34" s="271"/>
      <c r="G34" s="271"/>
      <c r="H34" s="271"/>
      <c r="I34" s="271"/>
      <c r="J34" s="271"/>
      <c r="K34" s="271"/>
      <c r="L34" s="271"/>
      <c r="M34" s="271"/>
      <c r="N34" s="271"/>
      <c r="O34" s="271"/>
      <c r="P34" s="272"/>
      <c r="Q34" s="270" t="s">
        <v>27</v>
      </c>
      <c r="R34" s="271"/>
      <c r="S34" s="271"/>
      <c r="T34" s="272"/>
      <c r="U34" s="270" t="s">
        <v>28</v>
      </c>
      <c r="V34" s="271"/>
      <c r="W34" s="271"/>
      <c r="X34" s="271"/>
      <c r="Y34" s="272"/>
      <c r="AB34" s="270"/>
      <c r="AC34" s="271"/>
      <c r="AD34" s="271"/>
      <c r="AE34" s="271"/>
      <c r="AF34" s="271"/>
      <c r="AG34" s="271"/>
      <c r="AH34" s="271"/>
      <c r="AI34" s="271"/>
      <c r="AJ34" s="271"/>
      <c r="AK34" s="271"/>
      <c r="AL34" s="271"/>
      <c r="AM34" s="271"/>
      <c r="AN34" s="271"/>
      <c r="AO34" s="272"/>
      <c r="AP34" s="270" t="s">
        <v>27</v>
      </c>
      <c r="AQ34" s="271"/>
      <c r="AR34" s="271"/>
      <c r="AS34" s="272"/>
      <c r="AT34" s="270" t="s">
        <v>28</v>
      </c>
      <c r="AU34" s="271"/>
      <c r="AV34" s="271"/>
      <c r="AW34" s="271"/>
      <c r="AX34" s="272"/>
    </row>
    <row r="35" spans="2:50" ht="30" customHeight="1" x14ac:dyDescent="0.2">
      <c r="C35" s="273" t="s">
        <v>29</v>
      </c>
      <c r="D35" s="274"/>
      <c r="E35" s="274"/>
      <c r="F35" s="274"/>
      <c r="G35" s="274"/>
      <c r="H35" s="274"/>
      <c r="I35" s="274"/>
      <c r="J35" s="274"/>
      <c r="K35" s="274"/>
      <c r="L35" s="274"/>
      <c r="M35" s="274"/>
      <c r="N35" s="274"/>
      <c r="O35" s="274"/>
      <c r="P35" s="275"/>
      <c r="Q35" s="273" t="s">
        <v>30</v>
      </c>
      <c r="R35" s="274"/>
      <c r="S35" s="274"/>
      <c r="T35" s="275"/>
      <c r="U35" s="276" t="s">
        <v>31</v>
      </c>
      <c r="V35" s="277"/>
      <c r="W35" s="277"/>
      <c r="X35" s="277"/>
      <c r="Y35" s="278"/>
      <c r="AB35" s="267" t="s">
        <v>39</v>
      </c>
      <c r="AC35" s="268"/>
      <c r="AD35" s="268"/>
      <c r="AE35" s="268"/>
      <c r="AF35" s="268"/>
      <c r="AG35" s="268"/>
      <c r="AH35" s="268"/>
      <c r="AI35" s="268"/>
      <c r="AJ35" s="268"/>
      <c r="AK35" s="268"/>
      <c r="AL35" s="268"/>
      <c r="AM35" s="268"/>
      <c r="AN35" s="268"/>
      <c r="AO35" s="269"/>
      <c r="AP35" s="273" t="s">
        <v>30</v>
      </c>
      <c r="AQ35" s="274"/>
      <c r="AR35" s="274"/>
      <c r="AS35" s="275"/>
      <c r="AT35" s="276" t="s">
        <v>31</v>
      </c>
      <c r="AU35" s="277"/>
      <c r="AV35" s="277"/>
      <c r="AW35" s="277"/>
      <c r="AX35" s="278"/>
    </row>
    <row r="36" spans="2:50" ht="30" customHeight="1" x14ac:dyDescent="0.2">
      <c r="C36" s="273" t="s">
        <v>32</v>
      </c>
      <c r="D36" s="274"/>
      <c r="E36" s="274"/>
      <c r="F36" s="274"/>
      <c r="G36" s="274"/>
      <c r="H36" s="274"/>
      <c r="I36" s="274"/>
      <c r="J36" s="274"/>
      <c r="K36" s="274"/>
      <c r="L36" s="274"/>
      <c r="M36" s="274"/>
      <c r="N36" s="274"/>
      <c r="O36" s="274"/>
      <c r="P36" s="275"/>
      <c r="Q36" s="273" t="s">
        <v>30</v>
      </c>
      <c r="R36" s="274"/>
      <c r="S36" s="274"/>
      <c r="T36" s="275"/>
      <c r="U36" s="276" t="s">
        <v>31</v>
      </c>
      <c r="V36" s="277"/>
      <c r="W36" s="277"/>
      <c r="X36" s="277"/>
      <c r="Y36" s="278"/>
      <c r="AB36" s="267" t="s">
        <v>40</v>
      </c>
      <c r="AC36" s="268"/>
      <c r="AD36" s="268"/>
      <c r="AE36" s="268"/>
      <c r="AF36" s="268"/>
      <c r="AG36" s="268"/>
      <c r="AH36" s="268"/>
      <c r="AI36" s="268"/>
      <c r="AJ36" s="268"/>
      <c r="AK36" s="268"/>
      <c r="AL36" s="268"/>
      <c r="AM36" s="268"/>
      <c r="AN36" s="268"/>
      <c r="AO36" s="269"/>
      <c r="AP36" s="273" t="s">
        <v>30</v>
      </c>
      <c r="AQ36" s="274"/>
      <c r="AR36" s="274"/>
      <c r="AS36" s="275"/>
      <c r="AT36" s="276" t="s">
        <v>31</v>
      </c>
      <c r="AU36" s="277"/>
      <c r="AV36" s="277"/>
      <c r="AW36" s="277"/>
      <c r="AX36" s="278"/>
    </row>
    <row r="37" spans="2:50" ht="15" customHeight="1" x14ac:dyDescent="0.2">
      <c r="C37" s="279" t="s">
        <v>33</v>
      </c>
      <c r="D37" s="280"/>
      <c r="E37" s="280"/>
      <c r="F37" s="280"/>
      <c r="G37" s="280"/>
      <c r="H37" s="280"/>
      <c r="I37" s="280"/>
      <c r="J37" s="280"/>
      <c r="K37" s="280"/>
      <c r="L37" s="280"/>
      <c r="M37" s="280"/>
      <c r="N37" s="280"/>
      <c r="O37" s="280"/>
      <c r="P37" s="281"/>
      <c r="Q37" s="285" t="s">
        <v>34</v>
      </c>
      <c r="R37" s="286"/>
      <c r="S37" s="286"/>
      <c r="T37" s="287"/>
      <c r="U37" s="291"/>
      <c r="V37" s="292"/>
      <c r="W37" s="292"/>
      <c r="X37" s="292"/>
      <c r="Y37" s="293"/>
      <c r="AB37" s="297" t="s">
        <v>41</v>
      </c>
      <c r="AC37" s="298"/>
      <c r="AD37" s="298"/>
      <c r="AE37" s="298"/>
      <c r="AF37" s="298"/>
      <c r="AG37" s="298"/>
      <c r="AH37" s="298"/>
      <c r="AI37" s="298"/>
      <c r="AJ37" s="298"/>
      <c r="AK37" s="298"/>
      <c r="AL37" s="298"/>
      <c r="AM37" s="298"/>
      <c r="AN37" s="298"/>
      <c r="AO37" s="299"/>
      <c r="AP37" s="285" t="s">
        <v>42</v>
      </c>
      <c r="AQ37" s="286"/>
      <c r="AR37" s="286"/>
      <c r="AS37" s="287"/>
      <c r="AT37" s="291"/>
      <c r="AU37" s="292"/>
      <c r="AV37" s="292"/>
      <c r="AW37" s="292"/>
      <c r="AX37" s="293"/>
    </row>
    <row r="38" spans="2:50" ht="15" customHeight="1" x14ac:dyDescent="0.2">
      <c r="C38" s="282"/>
      <c r="D38" s="283"/>
      <c r="E38" s="283"/>
      <c r="F38" s="283"/>
      <c r="G38" s="283"/>
      <c r="H38" s="283"/>
      <c r="I38" s="283"/>
      <c r="J38" s="283"/>
      <c r="K38" s="283"/>
      <c r="L38" s="283"/>
      <c r="M38" s="283"/>
      <c r="N38" s="283"/>
      <c r="O38" s="283"/>
      <c r="P38" s="284"/>
      <c r="Q38" s="288"/>
      <c r="R38" s="289"/>
      <c r="S38" s="289"/>
      <c r="T38" s="290"/>
      <c r="U38" s="294"/>
      <c r="V38" s="295"/>
      <c r="W38" s="295"/>
      <c r="X38" s="295"/>
      <c r="Y38" s="296"/>
      <c r="AB38" s="300"/>
      <c r="AC38" s="301"/>
      <c r="AD38" s="301"/>
      <c r="AE38" s="301"/>
      <c r="AF38" s="301"/>
      <c r="AG38" s="301"/>
      <c r="AH38" s="301"/>
      <c r="AI38" s="301"/>
      <c r="AJ38" s="301"/>
      <c r="AK38" s="301"/>
      <c r="AL38" s="301"/>
      <c r="AM38" s="301"/>
      <c r="AN38" s="301"/>
      <c r="AO38" s="302"/>
      <c r="AP38" s="288"/>
      <c r="AQ38" s="289"/>
      <c r="AR38" s="289"/>
      <c r="AS38" s="290"/>
      <c r="AT38" s="294"/>
      <c r="AU38" s="295"/>
      <c r="AV38" s="295"/>
      <c r="AW38" s="295"/>
      <c r="AX38" s="296"/>
    </row>
    <row r="39" spans="2:50" ht="15" customHeight="1" x14ac:dyDescent="0.2">
      <c r="C39" s="297" t="s">
        <v>35</v>
      </c>
      <c r="D39" s="298"/>
      <c r="E39" s="298"/>
      <c r="F39" s="298"/>
      <c r="G39" s="298"/>
      <c r="H39" s="298"/>
      <c r="I39" s="298"/>
      <c r="J39" s="298"/>
      <c r="K39" s="298"/>
      <c r="L39" s="298"/>
      <c r="M39" s="298"/>
      <c r="N39" s="298"/>
      <c r="O39" s="298"/>
      <c r="P39" s="299"/>
      <c r="Q39" s="285" t="s">
        <v>36</v>
      </c>
      <c r="R39" s="286"/>
      <c r="S39" s="286"/>
      <c r="T39" s="287"/>
      <c r="U39" s="291"/>
      <c r="V39" s="292"/>
      <c r="W39" s="292"/>
      <c r="X39" s="292"/>
      <c r="Y39" s="293"/>
    </row>
    <row r="40" spans="2:50" ht="15" customHeight="1" x14ac:dyDescent="0.2">
      <c r="C40" s="300"/>
      <c r="D40" s="301"/>
      <c r="E40" s="301"/>
      <c r="F40" s="301"/>
      <c r="G40" s="301"/>
      <c r="H40" s="301"/>
      <c r="I40" s="301"/>
      <c r="J40" s="301"/>
      <c r="K40" s="301"/>
      <c r="L40" s="301"/>
      <c r="M40" s="301"/>
      <c r="N40" s="301"/>
      <c r="O40" s="301"/>
      <c r="P40" s="302"/>
      <c r="Q40" s="288"/>
      <c r="R40" s="289"/>
      <c r="S40" s="289"/>
      <c r="T40" s="290"/>
      <c r="U40" s="294"/>
      <c r="V40" s="295"/>
      <c r="W40" s="295"/>
      <c r="X40" s="295"/>
      <c r="Y40" s="296"/>
    </row>
    <row r="41" spans="2:50" ht="15" x14ac:dyDescent="0.2">
      <c r="B41" s="6"/>
      <c r="C41" s="7"/>
      <c r="D41" s="6"/>
      <c r="E41" s="6"/>
      <c r="F41" s="6"/>
      <c r="G41" s="6"/>
      <c r="H41" s="6"/>
      <c r="I41" s="6"/>
      <c r="J41" s="6"/>
      <c r="K41" s="6"/>
      <c r="L41" s="6"/>
      <c r="M41" s="6"/>
      <c r="N41" s="6"/>
      <c r="O41" s="6"/>
      <c r="P41" s="8"/>
      <c r="Q41" s="8"/>
      <c r="R41" s="8"/>
      <c r="S41" s="8"/>
      <c r="T41" s="9"/>
      <c r="U41" s="9"/>
      <c r="V41" s="9"/>
      <c r="W41" s="9"/>
      <c r="X41" s="9"/>
    </row>
    <row r="42" spans="2:50" x14ac:dyDescent="0.2">
      <c r="C42" s="2" t="s">
        <v>79</v>
      </c>
    </row>
    <row r="43" spans="2:50" x14ac:dyDescent="0.2">
      <c r="C43" s="2" t="s">
        <v>80</v>
      </c>
    </row>
    <row r="44" spans="2:50" x14ac:dyDescent="0.2"/>
    <row r="45" spans="2:50" x14ac:dyDescent="0.2"/>
    <row r="46" spans="2:50" hidden="1" x14ac:dyDescent="0.2"/>
    <row r="47" spans="2:50" hidden="1" x14ac:dyDescent="0.2"/>
    <row r="48" spans="2:50" hidden="1" x14ac:dyDescent="0.2"/>
    <row r="49" hidden="1" x14ac:dyDescent="0.2"/>
    <row r="50" hidden="1" x14ac:dyDescent="0.2"/>
    <row r="51" x14ac:dyDescent="0.2"/>
    <row r="52" x14ac:dyDescent="0.2"/>
    <row r="53" x14ac:dyDescent="0.2"/>
  </sheetData>
  <sheetProtection password="CE6F" sheet="1" objects="1" scenarios="1"/>
  <mergeCells count="102">
    <mergeCell ref="C19:Y19"/>
    <mergeCell ref="AB19:AX19"/>
    <mergeCell ref="C20:P20"/>
    <mergeCell ref="Q20:T20"/>
    <mergeCell ref="U20:Y20"/>
    <mergeCell ref="AB20:AO20"/>
    <mergeCell ref="AP20:AS20"/>
    <mergeCell ref="AT20:AX20"/>
    <mergeCell ref="C39:P40"/>
    <mergeCell ref="Q39:T40"/>
    <mergeCell ref="U39:Y40"/>
    <mergeCell ref="C21:P21"/>
    <mergeCell ref="Q21:T21"/>
    <mergeCell ref="U21:Y21"/>
    <mergeCell ref="C22:P22"/>
    <mergeCell ref="Q22:T22"/>
    <mergeCell ref="U22:Y22"/>
    <mergeCell ref="C27:P27"/>
    <mergeCell ref="Q27:T27"/>
    <mergeCell ref="U27:Y27"/>
    <mergeCell ref="AB27:AO27"/>
    <mergeCell ref="AP27:AS27"/>
    <mergeCell ref="AT27:AX27"/>
    <mergeCell ref="C26:Y26"/>
    <mergeCell ref="AB21:AO21"/>
    <mergeCell ref="AP21:AS21"/>
    <mergeCell ref="AT21:AX21"/>
    <mergeCell ref="AB22:AO22"/>
    <mergeCell ref="AP22:AS22"/>
    <mergeCell ref="AT22:AX22"/>
    <mergeCell ref="C33:Y33"/>
    <mergeCell ref="AB28:AO28"/>
    <mergeCell ref="AP28:AS28"/>
    <mergeCell ref="AT28:AX28"/>
    <mergeCell ref="C29:P29"/>
    <mergeCell ref="Q29:T29"/>
    <mergeCell ref="U29:Y29"/>
    <mergeCell ref="AB29:AO29"/>
    <mergeCell ref="AP29:AS29"/>
    <mergeCell ref="AT29:AX29"/>
    <mergeCell ref="C28:P28"/>
    <mergeCell ref="Q28:T28"/>
    <mergeCell ref="U28:Y28"/>
    <mergeCell ref="C35:P35"/>
    <mergeCell ref="Q35:T35"/>
    <mergeCell ref="U35:Y35"/>
    <mergeCell ref="AB35:AO35"/>
    <mergeCell ref="AP35:AS35"/>
    <mergeCell ref="AT35:AX35"/>
    <mergeCell ref="C34:P34"/>
    <mergeCell ref="Q34:T34"/>
    <mergeCell ref="U34:Y34"/>
    <mergeCell ref="C37:P38"/>
    <mergeCell ref="Q37:T38"/>
    <mergeCell ref="U37:Y38"/>
    <mergeCell ref="AB37:AO38"/>
    <mergeCell ref="AP37:AS38"/>
    <mergeCell ref="AT37:AX38"/>
    <mergeCell ref="C36:P36"/>
    <mergeCell ref="Q36:T36"/>
    <mergeCell ref="U36:Y36"/>
    <mergeCell ref="AB4:AX4"/>
    <mergeCell ref="AB5:AO5"/>
    <mergeCell ref="AP5:AS5"/>
    <mergeCell ref="AT5:AX5"/>
    <mergeCell ref="AB6:AO6"/>
    <mergeCell ref="AP6:AS6"/>
    <mergeCell ref="AT6:AX6"/>
    <mergeCell ref="AB36:AO36"/>
    <mergeCell ref="AP36:AS36"/>
    <mergeCell ref="AT36:AX36"/>
    <mergeCell ref="AB33:AX33"/>
    <mergeCell ref="AB34:AO34"/>
    <mergeCell ref="AP34:AS34"/>
    <mergeCell ref="AT34:AX34"/>
    <mergeCell ref="AB26:AX26"/>
    <mergeCell ref="AB14:AO14"/>
    <mergeCell ref="AP14:AS14"/>
    <mergeCell ref="AT14:AX14"/>
    <mergeCell ref="AB15:AO15"/>
    <mergeCell ref="AP15:AS15"/>
    <mergeCell ref="AT15:AX15"/>
    <mergeCell ref="AB7:AO7"/>
    <mergeCell ref="AP7:AS7"/>
    <mergeCell ref="AT7:AX7"/>
    <mergeCell ref="AB12:AX12"/>
    <mergeCell ref="AB13:AO13"/>
    <mergeCell ref="AP13:AS13"/>
    <mergeCell ref="AT13:AX13"/>
    <mergeCell ref="AB8:AO8"/>
    <mergeCell ref="AP8:AS8"/>
    <mergeCell ref="AT8:AX8"/>
    <mergeCell ref="C15:P15"/>
    <mergeCell ref="Q15:T15"/>
    <mergeCell ref="U15:Y15"/>
    <mergeCell ref="C12:Y12"/>
    <mergeCell ref="C13:P13"/>
    <mergeCell ref="Q13:T13"/>
    <mergeCell ref="U13:Y13"/>
    <mergeCell ref="C14:P14"/>
    <mergeCell ref="Q14:T14"/>
    <mergeCell ref="U14:Y14"/>
  </mergeCells>
  <hyperlinks>
    <hyperlink ref="U35:Y35" r:id="rId1" display="Download"/>
    <hyperlink ref="U36:Y36" r:id="rId2" display="Download"/>
    <hyperlink ref="AT35:AX35" r:id="rId3" display="Download"/>
    <hyperlink ref="AT36:AX36" r:id="rId4" display="Download"/>
    <hyperlink ref="AT21:AX21" r:id="rId5" display="Download"/>
    <hyperlink ref="AT28:AX28" r:id="rId6" display="Download"/>
    <hyperlink ref="U28:Y28" r:id="rId7" display="Download"/>
    <hyperlink ref="U14:Y14" r:id="rId8" display="Download"/>
    <hyperlink ref="AT14:AX14" r:id="rId9" display="Download"/>
    <hyperlink ref="AT6:AX6" r:id="rId10" display="Download"/>
    <hyperlink ref="U21:Y21" r:id="rId11" display="Download"/>
  </hyperlinks>
  <pageMargins left="0.7" right="0.7" top="0.75" bottom="0.75" header="0.3" footer="0.3"/>
  <pageSetup orientation="portrait" r:id="rId12"/>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3"/>
  <sheetViews>
    <sheetView showGridLines="0" workbookViewId="0">
      <selection activeCell="L7" sqref="L7"/>
    </sheetView>
  </sheetViews>
  <sheetFormatPr baseColWidth="10" defaultColWidth="0" defaultRowHeight="12.75" zeroHeight="1" x14ac:dyDescent="0.2"/>
  <cols>
    <col min="1" max="1" width="2.7109375" customWidth="1"/>
    <col min="2" max="15" width="8.85546875" customWidth="1"/>
    <col min="16" max="16384" width="8.85546875" hidden="1"/>
  </cols>
  <sheetData>
    <row r="1" x14ac:dyDescent="0.2"/>
    <row r="2" x14ac:dyDescent="0.2"/>
    <row r="3" x14ac:dyDescent="0.2"/>
    <row r="4" x14ac:dyDescent="0.2"/>
    <row r="5" x14ac:dyDescent="0.2"/>
    <row r="6" x14ac:dyDescent="0.2"/>
    <row r="7" x14ac:dyDescent="0.2"/>
    <row r="8" x14ac:dyDescent="0.2"/>
    <row r="9" x14ac:dyDescent="0.2"/>
    <row r="10" x14ac:dyDescent="0.2"/>
    <row r="11" x14ac:dyDescent="0.2"/>
    <row r="12" x14ac:dyDescent="0.2"/>
    <row r="13" x14ac:dyDescent="0.2"/>
    <row r="14" x14ac:dyDescent="0.2"/>
    <row r="15" x14ac:dyDescent="0.2"/>
    <row r="16"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sheetData>
  <sheetProtection password="CE6F" sheet="1" objects="1" scenarios="1"/>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X69"/>
  <sheetViews>
    <sheetView showGridLines="0" topLeftCell="BW1" workbookViewId="0">
      <selection activeCell="DI10" sqref="DI10"/>
    </sheetView>
  </sheetViews>
  <sheetFormatPr baseColWidth="10" defaultColWidth="9.140625" defaultRowHeight="12.75" x14ac:dyDescent="0.2"/>
  <cols>
    <col min="1" max="112" width="2.7109375" style="169" customWidth="1"/>
    <col min="113" max="119" width="2.7109375" style="171" customWidth="1"/>
    <col min="120" max="128" width="2.7109375" style="169" customWidth="1"/>
    <col min="129" max="16384" width="9.140625" style="170"/>
  </cols>
  <sheetData>
    <row r="1" spans="1:128" x14ac:dyDescent="0.2">
      <c r="AG1" s="169" t="s">
        <v>94</v>
      </c>
    </row>
    <row r="2" spans="1:128" x14ac:dyDescent="0.2">
      <c r="U2" s="169" t="s">
        <v>104</v>
      </c>
      <c r="AG2" s="169">
        <v>1</v>
      </c>
      <c r="AH2" s="169">
        <v>2</v>
      </c>
      <c r="AI2" s="169">
        <v>3</v>
      </c>
      <c r="AJ2" s="169">
        <v>5</v>
      </c>
      <c r="AK2" s="169">
        <v>6</v>
      </c>
      <c r="AL2" s="169">
        <v>9</v>
      </c>
      <c r="AO2" s="169" t="s">
        <v>70</v>
      </c>
      <c r="BI2" s="169" t="s">
        <v>74</v>
      </c>
      <c r="CC2" s="169" t="s">
        <v>75</v>
      </c>
      <c r="DA2" s="169" t="s">
        <v>59</v>
      </c>
      <c r="DB2" s="169" t="s">
        <v>60</v>
      </c>
      <c r="DI2" s="171" t="s">
        <v>19</v>
      </c>
      <c r="DJ2" s="171" t="s">
        <v>20</v>
      </c>
      <c r="DK2" s="171" t="s">
        <v>21</v>
      </c>
      <c r="DL2" s="171" t="s">
        <v>59</v>
      </c>
      <c r="DM2" s="171" t="s">
        <v>60</v>
      </c>
      <c r="DN2" s="171" t="s">
        <v>72</v>
      </c>
      <c r="DO2" s="171" t="s">
        <v>62</v>
      </c>
      <c r="DP2" s="169" t="s">
        <v>93</v>
      </c>
      <c r="DQ2" s="169" t="s">
        <v>427</v>
      </c>
      <c r="DR2" s="169" t="s">
        <v>428</v>
      </c>
      <c r="DS2" s="169" t="s">
        <v>429</v>
      </c>
      <c r="DT2" s="169" t="s">
        <v>430</v>
      </c>
    </row>
    <row r="3" spans="1:128" x14ac:dyDescent="0.2">
      <c r="C3" s="169" t="s">
        <v>19</v>
      </c>
      <c r="D3" s="169" t="s">
        <v>20</v>
      </c>
      <c r="E3" s="169" t="s">
        <v>21</v>
      </c>
      <c r="F3" s="169" t="s">
        <v>59</v>
      </c>
      <c r="G3" s="169" t="s">
        <v>60</v>
      </c>
      <c r="H3" s="169" t="s">
        <v>61</v>
      </c>
      <c r="I3" s="169" t="s">
        <v>91</v>
      </c>
      <c r="J3" s="169" t="s">
        <v>92</v>
      </c>
      <c r="K3" s="169" t="s">
        <v>63</v>
      </c>
      <c r="M3" s="169" t="s">
        <v>68</v>
      </c>
      <c r="P3" s="169" t="s">
        <v>64</v>
      </c>
      <c r="Q3" s="169" t="s">
        <v>65</v>
      </c>
      <c r="R3" s="169" t="s">
        <v>66</v>
      </c>
      <c r="S3" s="169" t="s">
        <v>67</v>
      </c>
      <c r="U3" s="169" t="s">
        <v>69</v>
      </c>
      <c r="V3" s="169" t="s">
        <v>19</v>
      </c>
      <c r="W3" s="169" t="s">
        <v>20</v>
      </c>
      <c r="X3" s="169" t="s">
        <v>21</v>
      </c>
      <c r="Y3" s="169" t="s">
        <v>59</v>
      </c>
      <c r="Z3" s="169" t="s">
        <v>60</v>
      </c>
      <c r="AA3" s="169" t="s">
        <v>61</v>
      </c>
      <c r="AB3" s="169" t="s">
        <v>0</v>
      </c>
      <c r="AC3" s="169" t="s">
        <v>97</v>
      </c>
      <c r="AD3" s="169" t="s">
        <v>95</v>
      </c>
      <c r="AE3" s="169" t="s">
        <v>93</v>
      </c>
      <c r="AF3" s="169" t="s">
        <v>62</v>
      </c>
      <c r="AG3" s="169" t="s">
        <v>71</v>
      </c>
      <c r="AH3" s="169" t="s">
        <v>72</v>
      </c>
      <c r="AI3" s="169" t="s">
        <v>59</v>
      </c>
      <c r="AJ3" s="169" t="s">
        <v>96</v>
      </c>
      <c r="AK3" s="169" t="s">
        <v>95</v>
      </c>
      <c r="AL3" s="169" t="s">
        <v>93</v>
      </c>
      <c r="AM3" s="169" t="s">
        <v>73</v>
      </c>
      <c r="AO3" s="169" t="s">
        <v>69</v>
      </c>
      <c r="AP3" s="169" t="s">
        <v>19</v>
      </c>
      <c r="AQ3" s="169" t="s">
        <v>20</v>
      </c>
      <c r="AR3" s="169" t="s">
        <v>21</v>
      </c>
      <c r="AS3" s="169" t="s">
        <v>59</v>
      </c>
      <c r="AT3" s="169" t="s">
        <v>60</v>
      </c>
      <c r="AU3" s="169" t="s">
        <v>61</v>
      </c>
      <c r="AV3" s="169" t="s">
        <v>0</v>
      </c>
      <c r="AW3" s="169" t="s">
        <v>97</v>
      </c>
      <c r="AX3" s="169" t="s">
        <v>95</v>
      </c>
      <c r="AY3" s="169" t="s">
        <v>93</v>
      </c>
      <c r="AZ3" s="169" t="s">
        <v>62</v>
      </c>
      <c r="BA3" s="169" t="s">
        <v>71</v>
      </c>
      <c r="BB3" s="169" t="s">
        <v>72</v>
      </c>
      <c r="BC3" s="169" t="s">
        <v>59</v>
      </c>
      <c r="BD3" s="169" t="s">
        <v>96</v>
      </c>
      <c r="BE3" s="169" t="s">
        <v>95</v>
      </c>
      <c r="BF3" s="169" t="s">
        <v>93</v>
      </c>
      <c r="BG3" s="169" t="s">
        <v>73</v>
      </c>
      <c r="BI3" s="169" t="s">
        <v>69</v>
      </c>
      <c r="BJ3" s="169" t="s">
        <v>19</v>
      </c>
      <c r="BK3" s="169" t="s">
        <v>20</v>
      </c>
      <c r="BL3" s="169" t="s">
        <v>21</v>
      </c>
      <c r="BM3" s="169" t="s">
        <v>59</v>
      </c>
      <c r="BN3" s="169" t="s">
        <v>60</v>
      </c>
      <c r="BO3" s="169" t="s">
        <v>61</v>
      </c>
      <c r="BP3" s="169" t="s">
        <v>0</v>
      </c>
      <c r="BQ3" s="169" t="s">
        <v>97</v>
      </c>
      <c r="BR3" s="169" t="s">
        <v>95</v>
      </c>
      <c r="BS3" s="169" t="s">
        <v>93</v>
      </c>
      <c r="BT3" s="169" t="s">
        <v>62</v>
      </c>
      <c r="BU3" s="169" t="s">
        <v>71</v>
      </c>
      <c r="BV3" s="169" t="s">
        <v>72</v>
      </c>
      <c r="BW3" s="169" t="s">
        <v>59</v>
      </c>
      <c r="BX3" s="169" t="s">
        <v>97</v>
      </c>
      <c r="BY3" s="169" t="s">
        <v>95</v>
      </c>
      <c r="BZ3" s="169" t="s">
        <v>93</v>
      </c>
      <c r="CA3" s="169" t="s">
        <v>73</v>
      </c>
      <c r="CC3" s="169" t="s">
        <v>69</v>
      </c>
      <c r="CD3" s="169" t="s">
        <v>19</v>
      </c>
      <c r="CE3" s="169" t="s">
        <v>20</v>
      </c>
      <c r="CF3" s="169" t="s">
        <v>21</v>
      </c>
      <c r="CG3" s="169" t="s">
        <v>59</v>
      </c>
      <c r="CH3" s="169" t="s">
        <v>60</v>
      </c>
      <c r="CI3" s="169" t="s">
        <v>61</v>
      </c>
      <c r="CJ3" s="169" t="s">
        <v>0</v>
      </c>
      <c r="CK3" s="169" t="s">
        <v>97</v>
      </c>
      <c r="CL3" s="169" t="s">
        <v>95</v>
      </c>
      <c r="CM3" s="169" t="s">
        <v>93</v>
      </c>
      <c r="CN3" s="169" t="s">
        <v>62</v>
      </c>
      <c r="CO3" s="169" t="s">
        <v>71</v>
      </c>
      <c r="CP3" s="169" t="s">
        <v>72</v>
      </c>
      <c r="CQ3" s="169" t="s">
        <v>59</v>
      </c>
      <c r="CR3" s="169" t="s">
        <v>97</v>
      </c>
      <c r="CS3" s="169" t="s">
        <v>95</v>
      </c>
      <c r="CT3" s="169" t="s">
        <v>93</v>
      </c>
      <c r="CU3" s="169" t="s">
        <v>73</v>
      </c>
      <c r="CY3" s="169">
        <v>1</v>
      </c>
      <c r="CZ3" s="169" t="str">
        <f>Tournament!H13</f>
        <v>Frankreich</v>
      </c>
      <c r="DA3" s="169">
        <f>IF(AND(Tournament!J13&lt;&gt;"",Tournament!L13&lt;&gt;""),Tournament!J13,0)</f>
        <v>2</v>
      </c>
      <c r="DB3" s="169">
        <f>IF(AND(Tournament!L13&lt;&gt;"",Tournament!J13&lt;&gt;""),Tournament!L13,0)</f>
        <v>1</v>
      </c>
      <c r="DC3" s="169" t="str">
        <f>Tournament!N13</f>
        <v>Rumänien</v>
      </c>
      <c r="DD3" s="169" t="str">
        <f>IF(AND(Tournament!J13&lt;&gt;"",Tournament!L13&lt;&gt;""),IF(DA3&gt;DB3,"W",IF(DA3=DB3,"D","L")),"")</f>
        <v>W</v>
      </c>
      <c r="DE3" s="169" t="str">
        <f>IF(DD3&lt;&gt;"",IF(DD3="W","L",IF(DD3="L","W","D")),"")</f>
        <v>L</v>
      </c>
      <c r="DH3" s="169" t="str">
        <f>Tournament!AD14</f>
        <v>Albanien</v>
      </c>
      <c r="DI3" s="171">
        <f>Tournament!AI14</f>
        <v>1</v>
      </c>
      <c r="DJ3" s="171">
        <f>Tournament!AJ14</f>
        <v>0</v>
      </c>
      <c r="DK3" s="171">
        <f>Tournament!AK14</f>
        <v>2</v>
      </c>
      <c r="DL3" s="171">
        <f>Tournament!AL14</f>
        <v>1</v>
      </c>
      <c r="DM3" s="171">
        <f>Tournament!AN14</f>
        <v>3</v>
      </c>
      <c r="DN3" s="171">
        <f>Tournament!AO14</f>
        <v>-2</v>
      </c>
      <c r="DO3" s="171">
        <f>Tournament!AP14</f>
        <v>3</v>
      </c>
      <c r="DP3" s="169">
        <f t="shared" ref="DP3:DP8" si="0">VLOOKUP(DH3,$B$4:$J$40,9,FALSE)</f>
        <v>6</v>
      </c>
      <c r="DQ3" s="169">
        <f t="shared" ref="DQ3:DQ8" si="1">RANK(DO3,$DO$3:$DO$8)</f>
        <v>3</v>
      </c>
      <c r="DR3" s="169">
        <f t="shared" ref="DR3:DR8" si="2">SUMPRODUCT(($DQ$3:$DQ$8=DQ3)*($DN$3:$DN$8&gt;DN3))</f>
        <v>2</v>
      </c>
      <c r="DS3" s="169">
        <f t="shared" ref="DS3:DS8" si="3">SUMPRODUCT(($DQ$3:$DQ$8=DQ3)*($DN$3:$DN$8=DN3)*($DL$3:$DL$8&gt;DL3))</f>
        <v>1</v>
      </c>
      <c r="DT3" s="169">
        <f t="shared" ref="DT3:DT8" si="4">SUMPRODUCT(($DQ$3:$DQ$8=DQ3)*($DN$3:$DN$8=DN3)*($DL$3:$DL$8=DL3)*($DP$3:$DP$8&gt;DP3))</f>
        <v>0</v>
      </c>
      <c r="DU3" s="169">
        <f t="shared" ref="DU3:DU8" si="5">SUM(DQ3:DT3)</f>
        <v>6</v>
      </c>
      <c r="DV3" s="169" t="s">
        <v>22</v>
      </c>
      <c r="DW3" s="169">
        <v>1</v>
      </c>
    </row>
    <row r="4" spans="1:128" x14ac:dyDescent="0.2">
      <c r="A4" s="169">
        <f>VLOOKUP(B4,$CW$4:$CX$8,2,FALSE)</f>
        <v>1</v>
      </c>
      <c r="B4" s="169" t="str">
        <f>'Countries and Timezone'!C7</f>
        <v>Frankreich</v>
      </c>
      <c r="C4" s="169">
        <f>SUMPRODUCT(($CZ$3:$CZ$42=$B4)*($DD$3:$DD$42="W"))+SUMPRODUCT(($DC$3:$DC$42=$B4)*($DE$3:$DE$42="W"))</f>
        <v>2</v>
      </c>
      <c r="D4" s="169">
        <f>SUMPRODUCT(($CZ$3:$CZ$42=$B4)*($DD$3:$DD$42="D"))+SUMPRODUCT(($DC$3:$DC$42=$B4)*($DE$3:$DE$42="D"))</f>
        <v>1</v>
      </c>
      <c r="E4" s="169">
        <f>SUMPRODUCT(($CZ$3:$CZ$42=$B4)*($DD$3:$DD$42="L"))+SUMPRODUCT(($DC$3:$DC$42=$B4)*($DE$3:$DE$42="L"))</f>
        <v>0</v>
      </c>
      <c r="F4" s="169">
        <f>SUMIF($CZ$3:$CZ$60,B4,$DA$3:$DA$60)+SUMIF($DC$3:$DC$60,B4,$DB$3:$DB$60)</f>
        <v>4</v>
      </c>
      <c r="G4" s="169">
        <f>SUMIF($DC$3:$DC$60,B4,$DA$3:$DA$60)+SUMIF($CZ$3:$CZ$60,B4,$DB$3:$DB$60)</f>
        <v>1</v>
      </c>
      <c r="H4" s="169">
        <f>F4-G4+1000</f>
        <v>1003</v>
      </c>
      <c r="I4" s="169">
        <f>C4*3+D4*1</f>
        <v>7</v>
      </c>
      <c r="J4" s="169">
        <v>5</v>
      </c>
      <c r="K4" s="169">
        <f>RANK(I4,I$4:I$8)</f>
        <v>1</v>
      </c>
      <c r="M4" s="169">
        <f>RANK(I4,$I$4:$I$8)+COUNTIF($I$4:I4,I4)-1</f>
        <v>1</v>
      </c>
      <c r="N4" s="169" t="str">
        <f>INDEX($B$4:$B$8,MATCH(1,$M$4:$M$8,0),0)</f>
        <v>Frankreich</v>
      </c>
      <c r="O4" s="169">
        <f>INDEX($K$4:$K$8,MATCH(N4,$B$4:$B$8,0),0)</f>
        <v>1</v>
      </c>
      <c r="P4" s="169" t="str">
        <f>IF(O5=1,N4,"")</f>
        <v/>
      </c>
      <c r="Q4" s="169" t="str">
        <f>IF(O6=2,N5,"")</f>
        <v/>
      </c>
      <c r="R4" s="169" t="str">
        <f>IF(O7=3,N6,"")</f>
        <v/>
      </c>
      <c r="S4" s="169" t="str">
        <f>IF(O8=4,N7,"")</f>
        <v/>
      </c>
      <c r="U4" s="169" t="str">
        <f>IF(P4&lt;&gt;"",P4,"")</f>
        <v/>
      </c>
      <c r="V4" s="169">
        <f>SUMPRODUCT(($CZ$3:$CZ$42=$U4)*($DC$3:$DC$42=$U5)*($DD$3:$DD$42="W"))+SUMPRODUCT(($CZ$3:$CZ$42=$U4)*($DC$3:$DC$42=$U6)*($DD$3:$DD$42="W"))+SUMPRODUCT(($CZ$3:$CZ$42=$U4)*($DC$3:$DC$42=$U7)*($DD$3:$DD$42="W"))+SUMPRODUCT(($CZ$3:$CZ$42=$U4)*($DC$3:$DC$42=$U8)*($DD$3:$DD$42="W"))+SUMPRODUCT(($CZ$3:$CZ$42=$U5)*($DC$3:$DC$42=$U4)*($DE$3:$DE$42="W"))+SUMPRODUCT(($CZ$3:$CZ$42=$U6)*($DC$3:$DC$42=$U4)*($DE$3:$DE$42="W"))+SUMPRODUCT(($CZ$3:$CZ$42=$U7)*($DC$3:$DC$42=$U4)*($DE$3:$DE$42="W"))+SUMPRODUCT(($CZ$3:$CZ$42=$U8)*($DC$3:$DC$42=$U4)*($DE$3:$DE$42="W"))</f>
        <v>0</v>
      </c>
      <c r="W4" s="169">
        <f>SUMPRODUCT(($CZ$3:$CZ$42=$U4)*($DC$3:$DC$42=$U5)*($DD$3:$DD$42="D"))+SUMPRODUCT(($CZ$3:$CZ$42=$U4)*($DC$3:$DC$42=$U6)*($DD$3:$DD$42="D"))+SUMPRODUCT(($CZ$3:$CZ$42=$U4)*($DC$3:$DC$42=$U7)*($DD$3:$DD$42="D"))+SUMPRODUCT(($CZ$3:$CZ$42=$U4)*($DC$3:$DC$42=$U8)*($DD$3:$DD$42="D"))+SUMPRODUCT(($CZ$3:$CZ$42=$U5)*($DC$3:$DC$42=$U4)*($DD$3:$DD$42="D"))+SUMPRODUCT(($CZ$3:$CZ$42=$U6)*($DC$3:$DC$42=$U4)*($DD$3:$DD$42="D"))+SUMPRODUCT(($CZ$3:$CZ$42=$U7)*($DC$3:$DC$42=$U4)*($DD$3:$DD$42="D"))+SUMPRODUCT(($CZ$3:$CZ$42=$U8)*($DC$3:$DC$42=$U4)*($DD$3:$DD$42="D"))</f>
        <v>0</v>
      </c>
      <c r="X4" s="169">
        <f>SUMPRODUCT(($CZ$3:$CZ$42=$U4)*($DC$3:$DC$42=$U5)*($DD$3:$DD$42="L"))+SUMPRODUCT(($CZ$3:$CZ$42=$U4)*($DC$3:$DC$42=$U6)*($DD$3:$DD$42="L"))+SUMPRODUCT(($CZ$3:$CZ$42=$U4)*($DC$3:$DC$42=$U7)*($DD$3:$DD$42="L"))+SUMPRODUCT(($CZ$3:$CZ$42=$U4)*($DC$3:$DC$42=$U8)*($DD$3:$DD$42="L"))+SUMPRODUCT(($CZ$3:$CZ$42=$U5)*($DC$3:$DC$42=$U4)*($DE$3:$DE$42="L"))+SUMPRODUCT(($CZ$3:$CZ$42=$U6)*($DC$3:$DC$42=$U4)*($DE$3:$DE$42="L"))+SUMPRODUCT(($CZ$3:$CZ$42=$U7)*($DC$3:$DC$42=$U4)*($DE$3:$DE$42="L"))+SUMPRODUCT(($CZ$3:$CZ$42=$U8)*($DC$3:$DC$42=$U4)*($DE$3:$DE$42="L"))</f>
        <v>0</v>
      </c>
      <c r="Y4" s="169">
        <f>SUMPRODUCT(($CZ$3:$CZ$42=$U4)*($DC$3:$DC$42=$U5)*$DA$3:$DA$42)+SUMPRODUCT(($CZ$3:$CZ$42=$U4)*($DC$3:$DC$42=$U6)*$DA$3:$DA$42)+SUMPRODUCT(($CZ$3:$CZ$42=$U4)*($DC$3:$DC$42=$U7)*$DA$3:$DA$42)+SUMPRODUCT(($CZ$3:$CZ$42=$U4)*($DC$3:$DC$42=$U8)*$DA$3:$DA$42)+SUMPRODUCT(($CZ$3:$CZ$42=$U5)*($DC$3:$DC$42=$U4)*$DB$3:$DB$42)+SUMPRODUCT(($CZ$3:$CZ$42=$U6)*($DC$3:$DC$42=$U4)*$DB$3:$DB$42)+SUMPRODUCT(($CZ$3:$CZ$42=$U7)*($DC$3:$DC$42=$U4)*$DB$3:$DB$42)+SUMPRODUCT(($CZ$3:$CZ$42=$U8)*($DC$3:$DC$42=$U4)*$DB$3:$DB$42)</f>
        <v>0</v>
      </c>
      <c r="Z4" s="169">
        <f>SUMPRODUCT(($CZ$3:$CZ$42=$U4)*($DC$3:$DC$42=$U5)*$DB$3:$DB$42)+SUMPRODUCT(($CZ$3:$CZ$42=$U4)*($DC$3:$DC$42=$U6)*$DB$3:$DB$42)+SUMPRODUCT(($CZ$3:$CZ$42=$U4)*($DC$3:$DC$42=$U7)*$DB$3:$DB$42)+SUMPRODUCT(($CZ$3:$CZ$42=$U4)*($DC$3:$DC$42=$U8)*$DB$3:$DB$42)+SUMPRODUCT(($CZ$3:$CZ$42=$U5)*($DC$3:$DC$42=$U4)*$DA$3:$DA$42)+SUMPRODUCT(($CZ$3:$CZ$42=$U6)*($DC$3:$DC$42=$U4)*$DA$3:$DA$42)+SUMPRODUCT(($CZ$3:$CZ$42=$U7)*($DC$3:$DC$42=$U4)*$DA$3:$DA$42)+SUMPRODUCT(($CZ$3:$CZ$42=$U8)*($DC$3:$DC$42=$U4)*$DA$3:$DA$42)</f>
        <v>0</v>
      </c>
      <c r="AA4" s="169">
        <f>Y4-Z4+1000</f>
        <v>1000</v>
      </c>
      <c r="AB4" s="169" t="str">
        <f>IF(U4&lt;&gt;"",V4*3+W4*1,"")</f>
        <v/>
      </c>
      <c r="AC4" s="169" t="str">
        <f>IF(U4&lt;&gt;"",VLOOKUP(U4,$B$4:$H$40,7,FALSE),"")</f>
        <v/>
      </c>
      <c r="AD4" s="169" t="str">
        <f>IF(U4&lt;&gt;"",VLOOKUP(U4,$B$4:$H$40,5,FALSE),"")</f>
        <v/>
      </c>
      <c r="AE4" s="169" t="str">
        <f>IF(U4&lt;&gt;"",VLOOKUP(U4,$B$4:$J$40,9,FALSE),"")</f>
        <v/>
      </c>
      <c r="AF4" s="169" t="str">
        <f>AB4</f>
        <v/>
      </c>
      <c r="AG4" s="169" t="str">
        <f>IF(U4&lt;&gt;"",RANK(AF4,AF$4:AF$8),"")</f>
        <v/>
      </c>
      <c r="AH4" s="169" t="str">
        <f>IF(U4&lt;&gt;"",SUMPRODUCT((AF$4:AF$8=AF4)*(AA$4:AA$8&gt;AA4)),"")</f>
        <v/>
      </c>
      <c r="AI4" s="169" t="str">
        <f>IF(U4&lt;&gt;"",SUMPRODUCT((AF$4:AF$8=AF4)*(AA$4:AA$8=AA4)*(Y$4:Y$8&gt;Y4)),"")</f>
        <v/>
      </c>
      <c r="AJ4" s="169" t="str">
        <f>IF(U4&lt;&gt;"",SUMPRODUCT((AF$4:AF$8=AF4)*(AA$4:AA$8=AA4)*(Y$4:Y$8=Y4)*(AC$4:AC$8&gt;AC4)),"")</f>
        <v/>
      </c>
      <c r="AK4" s="169" t="str">
        <f>IF(U4&lt;&gt;"",SUMPRODUCT((AF$4:AF$8=AF4)*(AA$4:AA$8=AA4)*(Y$4:Y$8=Y4)*(AC$4:AC$8=AC4)*(AD$4:AD$8&gt;AD4)),"")</f>
        <v/>
      </c>
      <c r="AL4" s="169" t="str">
        <f>IF(U4&lt;&gt;"",SUMPRODUCT((AF$4:AF$8=AF4)*(AA$4:AA$8=AA4)*(Y$4:Y$8=Y4)*(AC$4:AC$8=AC4)*(AD$4:AD$8=AD4)*(AE$4:AE$8&gt;AE4)),"")</f>
        <v/>
      </c>
      <c r="AM4" s="169" t="str">
        <f>IF(U4&lt;&gt;"",SUM(AG4:AL4),"")</f>
        <v/>
      </c>
      <c r="AN4" s="169" t="str">
        <f>IF(U4&lt;&gt;"",INDEX($U$4:$U$8,MATCH(1,$AM$4:$AM$8,0),0),"")</f>
        <v/>
      </c>
      <c r="CW4" s="169" t="str">
        <f>IF(AN4&lt;&gt;"",AN4,N4)</f>
        <v>Frankreich</v>
      </c>
      <c r="CX4" s="169">
        <v>1</v>
      </c>
      <c r="CY4" s="169">
        <v>2</v>
      </c>
      <c r="CZ4" s="169" t="str">
        <f>Tournament!H14</f>
        <v>Albanien</v>
      </c>
      <c r="DA4" s="169">
        <f>IF(AND(Tournament!J14&lt;&gt;"",Tournament!L14&lt;&gt;""),Tournament!J14,0)</f>
        <v>0</v>
      </c>
      <c r="DB4" s="169">
        <f>IF(AND(Tournament!L14&lt;&gt;"",Tournament!J14&lt;&gt;""),Tournament!L14,0)</f>
        <v>1</v>
      </c>
      <c r="DC4" s="169" t="str">
        <f>Tournament!N14</f>
        <v>Schweiz</v>
      </c>
      <c r="DD4" s="169" t="str">
        <f>IF(AND(Tournament!J14&lt;&gt;"",Tournament!L14&lt;&gt;""),IF(DA4&gt;DB4,"W",IF(DA4=DB4,"D","L")),"")</f>
        <v>L</v>
      </c>
      <c r="DE4" s="169" t="str">
        <f t="shared" ref="DE4:DE38" si="6">IF(DD4&lt;&gt;"",IF(DD4="W","L",IF(DD4="L","W","D")),"")</f>
        <v>W</v>
      </c>
      <c r="DH4" s="169" t="str">
        <f>Tournament!AD19</f>
        <v>Slowakei</v>
      </c>
      <c r="DI4" s="171">
        <f>Tournament!AI19</f>
        <v>1</v>
      </c>
      <c r="DJ4" s="171">
        <f>Tournament!AJ19</f>
        <v>1</v>
      </c>
      <c r="DK4" s="171">
        <f>Tournament!AK19</f>
        <v>1</v>
      </c>
      <c r="DL4" s="171">
        <f>Tournament!AL19</f>
        <v>3</v>
      </c>
      <c r="DM4" s="171">
        <f>Tournament!AN19</f>
        <v>3</v>
      </c>
      <c r="DN4" s="171">
        <f>Tournament!AO19</f>
        <v>0</v>
      </c>
      <c r="DO4" s="171">
        <f>Tournament!AP19</f>
        <v>4</v>
      </c>
      <c r="DP4" s="169">
        <f t="shared" si="0"/>
        <v>11</v>
      </c>
      <c r="DQ4" s="169">
        <f t="shared" si="1"/>
        <v>1</v>
      </c>
      <c r="DR4" s="169">
        <f t="shared" si="2"/>
        <v>0</v>
      </c>
      <c r="DS4" s="169">
        <f t="shared" si="3"/>
        <v>0</v>
      </c>
      <c r="DT4" s="169">
        <f t="shared" si="4"/>
        <v>0</v>
      </c>
      <c r="DU4" s="169">
        <f t="shared" si="5"/>
        <v>1</v>
      </c>
      <c r="DV4" s="169" t="s">
        <v>9</v>
      </c>
      <c r="DW4" s="169">
        <v>2</v>
      </c>
    </row>
    <row r="5" spans="1:128" x14ac:dyDescent="0.2">
      <c r="A5" s="169">
        <f>VLOOKUP(B5,$CW$4:$CX$8,2,FALSE)</f>
        <v>4</v>
      </c>
      <c r="B5" s="169" t="str">
        <f>'Countries and Timezone'!C8</f>
        <v>Rumänien</v>
      </c>
      <c r="C5" s="169">
        <f>SUMPRODUCT(($CZ$3:$CZ$42=$B5)*($DD$3:$DD$42="W"))+SUMPRODUCT(($DC$3:$DC$42=$B5)*($DE$3:$DE$42="W"))</f>
        <v>0</v>
      </c>
      <c r="D5" s="169">
        <f>SUMPRODUCT(($CZ$3:$CZ$42=$B5)*($DD$3:$DD$42="D"))+SUMPRODUCT(($DC$3:$DC$42=$B5)*($DE$3:$DE$42="D"))</f>
        <v>1</v>
      </c>
      <c r="E5" s="169">
        <f>SUMPRODUCT(($CZ$3:$CZ$42=$B5)*($DD$3:$DD$42="L"))+SUMPRODUCT(($DC$3:$DC$42=$B5)*($DE$3:$DE$42="L"))</f>
        <v>2</v>
      </c>
      <c r="F5" s="169">
        <f>SUMIF($CZ$3:$CZ$60,B5,$DA$3:$DA$60)+SUMIF($DC$3:$DC$60,B5,$DB$3:$DB$60)</f>
        <v>2</v>
      </c>
      <c r="G5" s="169">
        <f>SUMIF($DC$3:$DC$60,B5,$DA$3:$DA$60)+SUMIF($CZ$3:$CZ$60,B5,$DB$3:$DB$60)</f>
        <v>4</v>
      </c>
      <c r="H5" s="169">
        <f>F5-G5+1000</f>
        <v>998</v>
      </c>
      <c r="I5" s="169">
        <f>C5*3+D5*1</f>
        <v>1</v>
      </c>
      <c r="J5" s="169">
        <v>4</v>
      </c>
      <c r="K5" s="169">
        <f>RANK(I5,I$4:I$8)</f>
        <v>4</v>
      </c>
      <c r="M5" s="169">
        <f>RANK(I5,$I$4:$I$8)+COUNTIF($I$4:I5,I5)-1</f>
        <v>4</v>
      </c>
      <c r="N5" s="169" t="str">
        <f>INDEX($B$4:$B$8,MATCH(2,$M$4:$M$8,0),0)</f>
        <v>Schweiz</v>
      </c>
      <c r="O5" s="169">
        <f>INDEX($K$4:$K$8,MATCH(N5,$B$4:$B$8,0),0)</f>
        <v>2</v>
      </c>
      <c r="P5" s="169" t="str">
        <f>IF(P4&lt;&gt;"",N5,"")</f>
        <v/>
      </c>
      <c r="Q5" s="169" t="str">
        <f>IF(Q4&lt;&gt;"",N6,"")</f>
        <v/>
      </c>
      <c r="R5" s="169" t="str">
        <f>IF(R4&lt;&gt;"",N7,"")</f>
        <v/>
      </c>
      <c r="S5" s="169" t="str">
        <f>IF(S4&lt;&gt;"",N8,"")</f>
        <v/>
      </c>
      <c r="U5" s="169" t="str">
        <f>IF(P5&lt;&gt;"",P5,"")</f>
        <v/>
      </c>
      <c r="V5" s="169">
        <f>SUMPRODUCT(($CZ$3:$CZ$42=$U5)*($DC$3:$DC$42=$U6)*($DD$3:$DD$42="W"))+SUMPRODUCT(($CZ$3:$CZ$42=$U5)*($DC$3:$DC$42=$U7)*($DD$3:$DD$42="W"))+SUMPRODUCT(($CZ$3:$CZ$42=$U5)*($DC$3:$DC$42=$U8)*($DD$3:$DD$42="W"))+SUMPRODUCT(($CZ$3:$CZ$42=$U5)*($DC$3:$DC$42=$U4)*($DD$3:$DD$42="W"))+SUMPRODUCT(($CZ$3:$CZ$42=$U6)*($DC$3:$DC$42=$U5)*($DE$3:$DE$42="W"))+SUMPRODUCT(($CZ$3:$CZ$42=$U7)*($DC$3:$DC$42=$U5)*($DE$3:$DE$42="W"))+SUMPRODUCT(($CZ$3:$CZ$42=$U8)*($DC$3:$DC$42=$U5)*($DE$3:$DE$42="W"))+SUMPRODUCT(($CZ$3:$CZ$42=$U4)*($DC$3:$DC$42=$U5)*($DE$3:$DE$42="W"))</f>
        <v>0</v>
      </c>
      <c r="W5" s="169">
        <f>SUMPRODUCT(($CZ$3:$CZ$42=$U5)*($DC$3:$DC$42=$U6)*($DD$3:$DD$42="D"))+SUMPRODUCT(($CZ$3:$CZ$42=$U5)*($DC$3:$DC$42=$U7)*($DD$3:$DD$42="D"))+SUMPRODUCT(($CZ$3:$CZ$42=$U5)*($DC$3:$DC$42=$U8)*($DD$3:$DD$42="D"))+SUMPRODUCT(($CZ$3:$CZ$42=$U5)*($DC$3:$DC$42=$U4)*($DD$3:$DD$42="D"))+SUMPRODUCT(($CZ$3:$CZ$42=$U6)*($DC$3:$DC$42=$U5)*($DD$3:$DD$42="D"))+SUMPRODUCT(($CZ$3:$CZ$42=$U7)*($DC$3:$DC$42=$U5)*($DD$3:$DD$42="D"))+SUMPRODUCT(($CZ$3:$CZ$42=$U8)*($DC$3:$DC$42=$U5)*($DD$3:$DD$42="D"))+SUMPRODUCT(($CZ$3:$CZ$42=$U4)*($DC$3:$DC$42=$U5)*($DD$3:$DD$42="D"))</f>
        <v>0</v>
      </c>
      <c r="X5" s="169">
        <f>SUMPRODUCT(($CZ$3:$CZ$42=$U5)*($DC$3:$DC$42=$U6)*($DD$3:$DD$42="L"))+SUMPRODUCT(($CZ$3:$CZ$42=$U5)*($DC$3:$DC$42=$U7)*($DD$3:$DD$42="L"))+SUMPRODUCT(($CZ$3:$CZ$42=$U5)*($DC$3:$DC$42=$U8)*($DD$3:$DD$42="L"))+SUMPRODUCT(($CZ$3:$CZ$42=$U5)*($DC$3:$DC$42=$U4)*($DD$3:$DD$42="L"))+SUMPRODUCT(($CZ$3:$CZ$42=$U6)*($DC$3:$DC$42=$U5)*($DE$3:$DE$42="L"))+SUMPRODUCT(($CZ$3:$CZ$42=$U7)*($DC$3:$DC$42=$U5)*($DE$3:$DE$42="L"))+SUMPRODUCT(($CZ$3:$CZ$42=$U8)*($DC$3:$DC$42=$U5)*($DE$3:$DE$42="L"))+SUMPRODUCT(($CZ$3:$CZ$42=$U4)*($DC$3:$DC$42=$U5)*($DE$3:$DE$42="L"))</f>
        <v>0</v>
      </c>
      <c r="Y5" s="169">
        <f>SUMPRODUCT(($CZ$3:$CZ$42=$U5)*($DC$3:$DC$42=$U6)*$DA$3:$DA$42)+SUMPRODUCT(($CZ$3:$CZ$42=$U5)*($DC$3:$DC$42=$U7)*$DA$3:$DA$42)+SUMPRODUCT(($CZ$3:$CZ$42=$U5)*($DC$3:$DC$42=$U8)*$DA$3:$DA$42)+SUMPRODUCT(($CZ$3:$CZ$42=$U5)*($DC$3:$DC$42=$U4)*$DA$3:$DA$42)+SUMPRODUCT(($CZ$3:$CZ$42=$U6)*($DC$3:$DC$42=$U5)*$DB$3:$DB$42)+SUMPRODUCT(($CZ$3:$CZ$42=$U7)*($DC$3:$DC$42=$U5)*$DB$3:$DB$42)+SUMPRODUCT(($CZ$3:$CZ$42=$U8)*($DC$3:$DC$42=$U5)*$DB$3:$DB$42)+SUMPRODUCT(($CZ$3:$CZ$42=$U4)*($DC$3:$DC$42=$U5)*$DB$3:$DB$42)</f>
        <v>0</v>
      </c>
      <c r="Z5" s="169">
        <f>SUMPRODUCT(($CZ$3:$CZ$42=$U5)*($DC$3:$DC$42=$U6)*$DB$3:$DB$42)+SUMPRODUCT(($CZ$3:$CZ$42=$U5)*($DC$3:$DC$42=$U7)*$DB$3:$DB$42)+SUMPRODUCT(($CZ$3:$CZ$42=$U5)*($DC$3:$DC$42=$U8)*$DB$3:$DB$42)+SUMPRODUCT(($CZ$3:$CZ$42=$U5)*($DC$3:$DC$42=$U4)*$DB$3:$DB$42)+SUMPRODUCT(($CZ$3:$CZ$42=$U6)*($DC$3:$DC$42=$U5)*$DA$3:$DA$42)+SUMPRODUCT(($CZ$3:$CZ$42=$U7)*($DC$3:$DC$42=$U5)*$DA$3:$DA$42)+SUMPRODUCT(($CZ$3:$CZ$42=$U8)*($DC$3:$DC$42=$U5)*$DA$3:$DA$42)+SUMPRODUCT(($CZ$3:$CZ$42=$U4)*($DC$3:$DC$42=$U5)*$DA$3:$DA$42)</f>
        <v>0</v>
      </c>
      <c r="AA5" s="169">
        <f>Y5-Z5+1000</f>
        <v>1000</v>
      </c>
      <c r="AB5" s="169" t="str">
        <f>IF(U5&lt;&gt;"",V5*3+W5*1,"")</f>
        <v/>
      </c>
      <c r="AC5" s="169" t="str">
        <f>IF(U5&lt;&gt;"",VLOOKUP(U5,$B$4:$H$40,7,FALSE),"")</f>
        <v/>
      </c>
      <c r="AD5" s="169" t="str">
        <f>IF(U5&lt;&gt;"",VLOOKUP(U5,$B$4:$H$40,5,FALSE),"")</f>
        <v/>
      </c>
      <c r="AE5" s="169" t="str">
        <f>IF(U5&lt;&gt;"",VLOOKUP(U5,$B$4:$J$40,9,FALSE),"")</f>
        <v/>
      </c>
      <c r="AF5" s="169" t="str">
        <f>AB5</f>
        <v/>
      </c>
      <c r="AG5" s="169" t="str">
        <f>IF(U5&lt;&gt;"",RANK(AF5,AF$4:AF$8),"")</f>
        <v/>
      </c>
      <c r="AH5" s="169" t="str">
        <f>IF(U5&lt;&gt;"",SUMPRODUCT((AF$4:AF$8=AF5)*(AA$4:AA$8&gt;AA5)),"")</f>
        <v/>
      </c>
      <c r="AI5" s="169" t="str">
        <f>IF(U5&lt;&gt;"",SUMPRODUCT((AF$4:AF$8=AF5)*(AA$4:AA$8=AA5)*(Y$4:Y$8&gt;Y5)),"")</f>
        <v/>
      </c>
      <c r="AJ5" s="169" t="str">
        <f>IF(U5&lt;&gt;"",SUMPRODUCT((AF$4:AF$8=AF5)*(AA$4:AA$8=AA5)*(Y$4:Y$8=Y5)*(AC$4:AC$8&gt;AC5)),"")</f>
        <v/>
      </c>
      <c r="AK5" s="169" t="str">
        <f>IF(U5&lt;&gt;"",SUMPRODUCT((AF$4:AF$8=AF5)*(AA$4:AA$8=AA5)*(Y$4:Y$8=Y5)*(AC$4:AC$8=AC5)*(AD$4:AD$8&gt;AD5)),"")</f>
        <v/>
      </c>
      <c r="AL5" s="169" t="str">
        <f>IF(U5&lt;&gt;"",SUMPRODUCT((AF$4:AF$8=AF5)*(AA$4:AA$8=AA5)*(Y$4:Y$8=Y5)*(AC$4:AC$8=AC5)*(AD$4:AD$8=AD5)*(AE$4:AE$8&gt;AE5)),"")</f>
        <v/>
      </c>
      <c r="AM5" s="169" t="str">
        <f>IF(U5&lt;&gt;"",SUM(AG5:AL5),"")</f>
        <v/>
      </c>
      <c r="AN5" s="169" t="str">
        <f>IF(U5&lt;&gt;"",INDEX($U$4:$U$8,MATCH(2,$AM$4:$AM$8,0),0),"")</f>
        <v/>
      </c>
      <c r="AO5" s="169" t="str">
        <f>IF(Q4&lt;&gt;"",Q4,"")</f>
        <v/>
      </c>
      <c r="AP5" s="169">
        <f>SUMPRODUCT(($CZ$3:$CZ$42=$AO5)*($DC$3:$DC$42=$AO6)*($DD$3:$DD$42="W"))+SUMPRODUCT(($CZ$3:$CZ$42=$AO5)*($DC$3:$DC$42=$AO7)*($DD$3:$DD$42="W"))+SUMPRODUCT(($CZ$3:$CZ$42=$AO5)*($DC$3:$DC$42=$AO8)*($DD$3:$DD$42="W"))+SUMPRODUCT(($CZ$3:$CZ$42=$AO6)*($DC$3:$DC$42=$AO5)*($DE$3:$DE$42="W"))+SUMPRODUCT(($CZ$3:$CZ$42=$AO7)*($DC$3:$DC$42=$AO5)*($DE$3:$DE$42="W"))+SUMPRODUCT(($CZ$3:$CZ$42=$AO8)*($DC$3:$DC$42=$AO5)*($DE$3:$DE$42="W"))</f>
        <v>0</v>
      </c>
      <c r="AQ5" s="169">
        <f>SUMPRODUCT(($CZ$3:$CZ$42=$AO5)*($DC$3:$DC$42=$AO6)*($DD$3:$DD$42="D"))+SUMPRODUCT(($CZ$3:$CZ$42=$AO5)*($DC$3:$DC$42=$AO7)*($DD$3:$DD$42="D"))+SUMPRODUCT(($CZ$3:$CZ$42=$AO5)*($DC$3:$DC$42=$AO8)*($DD$3:$DD$42="D"))+SUMPRODUCT(($CZ$3:$CZ$42=$AO6)*($DC$3:$DC$42=$AO5)*($DD$3:$DD$42="D"))+SUMPRODUCT(($CZ$3:$CZ$42=$AO7)*($DC$3:$DC$42=$AO5)*($DD$3:$DD$42="D"))+SUMPRODUCT(($CZ$3:$CZ$42=$AO8)*($DC$3:$DC$42=$AO5)*($DD$3:$DD$42="D"))</f>
        <v>0</v>
      </c>
      <c r="AR5" s="169">
        <f>SUMPRODUCT(($CZ$3:$CZ$42=$AO5)*($DC$3:$DC$42=$AO6)*($DD$3:$DD$42="L"))+SUMPRODUCT(($CZ$3:$CZ$42=$AO5)*($DC$3:$DC$42=$AO7)*($DD$3:$DD$42="L"))+SUMPRODUCT(($CZ$3:$CZ$42=$AO5)*($DC$3:$DC$42=$AO8)*($DD$3:$DD$42="L"))+SUMPRODUCT(($CZ$3:$CZ$42=$AO6)*($DC$3:$DC$42=$AO5)*($DE$3:$DE$42="L"))+SUMPRODUCT(($CZ$3:$CZ$42=$AO7)*($DC$3:$DC$42=$AO5)*($DE$3:$DE$42="L"))+SUMPRODUCT(($CZ$3:$CZ$42=$AO8)*($DC$3:$DC$42=$AO5)*($DE$3:$DE$42="L"))</f>
        <v>0</v>
      </c>
      <c r="AS5" s="169">
        <f>SUMPRODUCT(($CZ$3:$CZ$42=$AO5)*($DC$3:$DC$42=$AO6)*$DA$3:$DA$42)+SUMPRODUCT(($CZ$3:$CZ$42=$AO5)*($DC$3:$DC$42=$AO7)*$DA$3:$DA$42)+SUMPRODUCT(($CZ$3:$CZ$42=$AO5)*($DC$3:$DC$42=$AO8)*$DA$3:$DA$42)+SUMPRODUCT(($CZ$3:$CZ$42=$AO5)*($DC$3:$DC$42=$AO4)*$DA$3:$DA$42)+SUMPRODUCT(($CZ$3:$CZ$42=$AO6)*($DC$3:$DC$42=$AO5)*$DB$3:$DB$42)+SUMPRODUCT(($CZ$3:$CZ$42=$AO7)*($DC$3:$DC$42=$AO5)*$DB$3:$DB$42)+SUMPRODUCT(($CZ$3:$CZ$42=$AO8)*($DC$3:$DC$42=$AO5)*$DB$3:$DB$42)+SUMPRODUCT(($CZ$3:$CZ$42=$AO4)*($DC$3:$DC$42=$AO5)*$DB$3:$DB$42)</f>
        <v>0</v>
      </c>
      <c r="AT5" s="169">
        <f>SUMPRODUCT(($CZ$3:$CZ$42=$AO5)*($DC$3:$DC$42=$AO6)*$DB$3:$DB$42)+SUMPRODUCT(($CZ$3:$CZ$42=$AO5)*($DC$3:$DC$42=$AO7)*$DB$3:$DB$42)+SUMPRODUCT(($CZ$3:$CZ$42=$AO5)*($DC$3:$DC$42=$AO8)*$DB$3:$DB$42)+SUMPRODUCT(($CZ$3:$CZ$42=$AO5)*($DC$3:$DC$42=$AO4)*$DB$3:$DB$42)+SUMPRODUCT(($CZ$3:$CZ$42=$AO6)*($DC$3:$DC$42=$AO5)*$DA$3:$DA$42)+SUMPRODUCT(($CZ$3:$CZ$42=$AO7)*($DC$3:$DC$42=$AO5)*$DA$3:$DA$42)+SUMPRODUCT(($CZ$3:$CZ$42=$AO8)*($DC$3:$DC$42=$AO5)*$DA$3:$DA$42)+SUMPRODUCT(($CZ$3:$CZ$42=$AO4)*($DC$3:$DC$42=$AO5)*$DA$3:$DA$42)</f>
        <v>0</v>
      </c>
      <c r="AU5" s="169">
        <f>AS5-AT5+1000</f>
        <v>1000</v>
      </c>
      <c r="AV5" s="169" t="str">
        <f>IF(AO5&lt;&gt;"",AP5*3+AQ5*1,"")</f>
        <v/>
      </c>
      <c r="AW5" s="169" t="str">
        <f>IF(AO5&lt;&gt;"",VLOOKUP(AO5,$B$4:$H$40,7,FALSE),"")</f>
        <v/>
      </c>
      <c r="AX5" s="169" t="str">
        <f>IF(AO5&lt;&gt;"",VLOOKUP(AO5,$B$4:$H$40,5,FALSE),"")</f>
        <v/>
      </c>
      <c r="AY5" s="169" t="str">
        <f>IF(AO5&lt;&gt;"",VLOOKUP(AO5,$B$4:$J$40,9,FALSE),"")</f>
        <v/>
      </c>
      <c r="AZ5" s="169" t="str">
        <f>AV5</f>
        <v/>
      </c>
      <c r="BA5" s="169" t="str">
        <f>IF(AO5&lt;&gt;"",RANK(AZ5,AZ$4:AZ$8),"")</f>
        <v/>
      </c>
      <c r="BB5" s="169" t="str">
        <f>IF(AO5&lt;&gt;"",SUMPRODUCT((AZ$4:AZ$8=AZ5)*(AU$4:AU$8&gt;AU5)),"")</f>
        <v/>
      </c>
      <c r="BC5" s="169" t="str">
        <f>IF(AO5&lt;&gt;"",SUMPRODUCT((AZ$4:AZ$8=AZ5)*(AU$4:AU$8=AU5)*(AS$4:AS$8&gt;AS5)),"")</f>
        <v/>
      </c>
      <c r="BD5" s="169" t="str">
        <f>IF(AO5&lt;&gt;"",SUMPRODUCT((AZ$4:AZ$8=AZ5)*(AU$4:AU$8=AU5)*(AS$4:AS$8=AS5)*(AW$4:AW$8&gt;AW5)),"")</f>
        <v/>
      </c>
      <c r="BE5" s="169" t="str">
        <f>IF(AO5&lt;&gt;"",SUMPRODUCT((AZ$4:AZ$8=AZ5)*(AU$4:AU$8=AU5)*(AS$4:AS$8=AS5)*(AW$4:AW$8=AW5)*(AX$4:AX$8&gt;AX5)),"")</f>
        <v/>
      </c>
      <c r="BF5" s="169" t="str">
        <f>IF(AO5&lt;&gt;"",SUMPRODUCT((AZ$4:AZ$8=AZ5)*(AU$4:AU$8=AU5)*(AS$4:AS$8=AS5)*(AW$4:AW$8=AW5)*(AX$4:AX$8=AX5)*(AY$4:AY$8&gt;AY5)),"")</f>
        <v/>
      </c>
      <c r="BG5" s="169" t="str">
        <f>IF(AO5&lt;&gt;"",SUM(BA5:BF5)+1,"")</f>
        <v/>
      </c>
      <c r="BH5" s="169" t="str">
        <f>IF(AO5&lt;&gt;"",INDEX(AO5:AO8,MATCH(2,BG5:BG8,0),0),"")</f>
        <v/>
      </c>
      <c r="CW5" s="169" t="str">
        <f>IF(BH5&lt;&gt;"",BH5,IF(AN5&lt;&gt;"",AN5,N5))</f>
        <v>Schweiz</v>
      </c>
      <c r="CX5" s="169">
        <v>2</v>
      </c>
      <c r="CY5" s="169">
        <v>3</v>
      </c>
      <c r="CZ5" s="169" t="str">
        <f>Tournament!H15</f>
        <v>Wales</v>
      </c>
      <c r="DA5" s="169">
        <f>IF(AND(Tournament!J15&lt;&gt;"",Tournament!L15&lt;&gt;""),Tournament!J15,0)</f>
        <v>2</v>
      </c>
      <c r="DB5" s="169">
        <f>IF(AND(Tournament!L15&lt;&gt;"",Tournament!J15&lt;&gt;""),Tournament!L15,0)</f>
        <v>1</v>
      </c>
      <c r="DC5" s="169" t="str">
        <f>Tournament!N15</f>
        <v>Slowakei</v>
      </c>
      <c r="DD5" s="169" t="str">
        <f>IF(AND(Tournament!J15&lt;&gt;"",Tournament!L15&lt;&gt;""),IF(DA5&gt;DB5,"W",IF(DA5=DB5,"D","L")),"")</f>
        <v>W</v>
      </c>
      <c r="DE5" s="169" t="str">
        <f t="shared" si="6"/>
        <v>L</v>
      </c>
      <c r="DH5" s="169" t="str">
        <f>Tournament!AD24</f>
        <v>Nordirland</v>
      </c>
      <c r="DI5" s="171">
        <f>Tournament!AI24</f>
        <v>1</v>
      </c>
      <c r="DJ5" s="171">
        <f>Tournament!AJ24</f>
        <v>0</v>
      </c>
      <c r="DK5" s="171">
        <f>Tournament!AK24</f>
        <v>2</v>
      </c>
      <c r="DL5" s="171">
        <f>Tournament!AL24</f>
        <v>2</v>
      </c>
      <c r="DM5" s="171">
        <f>Tournament!AN24</f>
        <v>2</v>
      </c>
      <c r="DN5" s="171">
        <f>Tournament!AO24</f>
        <v>0</v>
      </c>
      <c r="DO5" s="171">
        <f>Tournament!AP24</f>
        <v>3</v>
      </c>
      <c r="DP5" s="169">
        <f t="shared" si="0"/>
        <v>13</v>
      </c>
      <c r="DQ5" s="169">
        <f t="shared" si="1"/>
        <v>3</v>
      </c>
      <c r="DR5" s="169">
        <f t="shared" si="2"/>
        <v>0</v>
      </c>
      <c r="DS5" s="169">
        <f t="shared" si="3"/>
        <v>1</v>
      </c>
      <c r="DT5" s="169">
        <f t="shared" si="4"/>
        <v>0</v>
      </c>
      <c r="DU5" s="169">
        <f t="shared" si="5"/>
        <v>4</v>
      </c>
      <c r="DV5" s="169" t="s">
        <v>10</v>
      </c>
      <c r="DW5" s="169">
        <v>3</v>
      </c>
    </row>
    <row r="6" spans="1:128" x14ac:dyDescent="0.2">
      <c r="A6" s="169">
        <f>VLOOKUP(B6,$CW$4:$CX$8,2,FALSE)</f>
        <v>3</v>
      </c>
      <c r="B6" s="169" t="str">
        <f>'Countries and Timezone'!C9</f>
        <v>Albanien</v>
      </c>
      <c r="C6" s="169">
        <f>SUMPRODUCT(($CZ$3:$CZ$42=$B6)*($DD$3:$DD$42="W"))+SUMPRODUCT(($DC$3:$DC$42=$B6)*($DE$3:$DE$42="W"))</f>
        <v>1</v>
      </c>
      <c r="D6" s="169">
        <f>SUMPRODUCT(($CZ$3:$CZ$42=$B6)*($DD$3:$DD$42="D"))+SUMPRODUCT(($DC$3:$DC$42=$B6)*($DE$3:$DE$42="D"))</f>
        <v>0</v>
      </c>
      <c r="E6" s="169">
        <f>SUMPRODUCT(($CZ$3:$CZ$42=$B6)*($DD$3:$DD$42="L"))+SUMPRODUCT(($DC$3:$DC$42=$B6)*($DE$3:$DE$42="L"))</f>
        <v>2</v>
      </c>
      <c r="F6" s="169">
        <f>SUMIF($CZ$3:$CZ$60,B6,$DA$3:$DA$60)+SUMIF($DC$3:$DC$60,B6,$DB$3:$DB$60)</f>
        <v>1</v>
      </c>
      <c r="G6" s="169">
        <f>SUMIF($DC$3:$DC$60,B6,$DA$3:$DA$60)+SUMIF($CZ$3:$CZ$60,B6,$DB$3:$DB$60)</f>
        <v>3</v>
      </c>
      <c r="H6" s="169">
        <f>F6-G6+1000</f>
        <v>998</v>
      </c>
      <c r="I6" s="169">
        <f>C6*3+D6*1</f>
        <v>3</v>
      </c>
      <c r="J6" s="169">
        <v>6</v>
      </c>
      <c r="K6" s="169">
        <f>RANK(I6,I$4:I$8)</f>
        <v>3</v>
      </c>
      <c r="M6" s="169">
        <f>RANK(I6,$I$4:$I$8)+COUNTIF($I$4:I6,I6)-1</f>
        <v>3</v>
      </c>
      <c r="N6" s="169" t="str">
        <f>INDEX($B$4:$B$8,MATCH(3,$M$4:$M$8,0),0)</f>
        <v>Albanien</v>
      </c>
      <c r="O6" s="169">
        <f>INDEX($K$4:$K$8,MATCH(N6,$B$4:$B$8,0),0)</f>
        <v>3</v>
      </c>
      <c r="P6" s="169" t="str">
        <f>IF(AND(P5&lt;&gt;"",O6=1),N6,"")</f>
        <v/>
      </c>
      <c r="Q6" s="169" t="str">
        <f>IF(AND(Q5&lt;&gt;"",O7=2),N7,"")</f>
        <v/>
      </c>
      <c r="R6" s="169" t="str">
        <f>IF(AND(R5&lt;&gt;"",O8=3),N8,"")</f>
        <v/>
      </c>
      <c r="U6" s="169" t="str">
        <f>IF(P6&lt;&gt;"",P6,"")</f>
        <v/>
      </c>
      <c r="V6" s="169">
        <f>SUMPRODUCT(($CZ$3:$CZ$42=$U6)*($DC$3:$DC$42=$U7)*($DD$3:$DD$42="W"))+SUMPRODUCT(($CZ$3:$CZ$42=$U6)*($DC$3:$DC$42=$U8)*($DD$3:$DD$42="W"))+SUMPRODUCT(($CZ$3:$CZ$42=$U6)*($DC$3:$DC$42=$U4)*($DD$3:$DD$42="W"))+SUMPRODUCT(($CZ$3:$CZ$42=$U6)*($DC$3:$DC$42=$U5)*($DD$3:$DD$42="W"))+SUMPRODUCT(($CZ$3:$CZ$42=$U7)*($DC$3:$DC$42=$U6)*($DE$3:$DE$42="W"))+SUMPRODUCT(($CZ$3:$CZ$42=$U8)*($DC$3:$DC$42=$U6)*($DE$3:$DE$42="W"))+SUMPRODUCT(($CZ$3:$CZ$42=$U4)*($DC$3:$DC$42=$U6)*($DE$3:$DE$42="W"))+SUMPRODUCT(($CZ$3:$CZ$42=$U5)*($DC$3:$DC$42=$U6)*($DE$3:$DE$42="W"))</f>
        <v>0</v>
      </c>
      <c r="W6" s="169">
        <f>SUMPRODUCT(($CZ$3:$CZ$42=$U6)*($DC$3:$DC$42=$U7)*($DD$3:$DD$42="D"))+SUMPRODUCT(($CZ$3:$CZ$42=$U6)*($DC$3:$DC$42=$U8)*($DD$3:$DD$42="D"))+SUMPRODUCT(($CZ$3:$CZ$42=$U6)*($DC$3:$DC$42=$U4)*($DD$3:$DD$42="D"))+SUMPRODUCT(($CZ$3:$CZ$42=$U6)*($DC$3:$DC$42=$U5)*($DD$3:$DD$42="D"))+SUMPRODUCT(($CZ$3:$CZ$42=$U7)*($DC$3:$DC$42=$U6)*($DD$3:$DD$42="D"))+SUMPRODUCT(($CZ$3:$CZ$42=$U8)*($DC$3:$DC$42=$U6)*($DD$3:$DD$42="D"))+SUMPRODUCT(($CZ$3:$CZ$42=$U4)*($DC$3:$DC$42=$U6)*($DD$3:$DD$42="D"))+SUMPRODUCT(($CZ$3:$CZ$42=$U5)*($DC$3:$DC$42=$U6)*($DD$3:$DD$42="D"))</f>
        <v>0</v>
      </c>
      <c r="X6" s="169">
        <f>SUMPRODUCT(($CZ$3:$CZ$42=$U6)*($DC$3:$DC$42=$U7)*($DD$3:$DD$42="L"))+SUMPRODUCT(($CZ$3:$CZ$42=$U6)*($DC$3:$DC$42=$U8)*($DD$3:$DD$42="L"))+SUMPRODUCT(($CZ$3:$CZ$42=$U6)*($DC$3:$DC$42=$U4)*($DD$3:$DD$42="L"))+SUMPRODUCT(($CZ$3:$CZ$42=$U6)*($DC$3:$DC$42=$U5)*($DD$3:$DD$42="L"))+SUMPRODUCT(($CZ$3:$CZ$42=$U7)*($DC$3:$DC$42=$U6)*($DE$3:$DE$42="L"))+SUMPRODUCT(($CZ$3:$CZ$42=$U8)*($DC$3:$DC$42=$U6)*($DE$3:$DE$42="L"))+SUMPRODUCT(($CZ$3:$CZ$42=$U4)*($DC$3:$DC$42=$U6)*($DE$3:$DE$42="L"))+SUMPRODUCT(($CZ$3:$CZ$42=$U5)*($DC$3:$DC$42=$U6)*($DE$3:$DE$42="L"))</f>
        <v>0</v>
      </c>
      <c r="Y6" s="169">
        <f>SUMPRODUCT(($CZ$3:$CZ$42=$U6)*($DC$3:$DC$42=$U7)*$DA$3:$DA$42)+SUMPRODUCT(($CZ$3:$CZ$42=$U6)*($DC$3:$DC$42=$U8)*$DA$3:$DA$42)+SUMPRODUCT(($CZ$3:$CZ$42=$U6)*($DC$3:$DC$42=$U4)*$DA$3:$DA$42)+SUMPRODUCT(($CZ$3:$CZ$42=$U6)*($DC$3:$DC$42=$U5)*$DA$3:$DA$42)+SUMPRODUCT(($CZ$3:$CZ$42=$U7)*($DC$3:$DC$42=$U6)*$DB$3:$DB$42)+SUMPRODUCT(($CZ$3:$CZ$42=$U8)*($DC$3:$DC$42=$U6)*$DB$3:$DB$42)+SUMPRODUCT(($CZ$3:$CZ$42=$U4)*($DC$3:$DC$42=$U6)*$DB$3:$DB$42)+SUMPRODUCT(($CZ$3:$CZ$42=$U5)*($DC$3:$DC$42=$U6)*$DB$3:$DB$42)</f>
        <v>0</v>
      </c>
      <c r="Z6" s="169">
        <f>SUMPRODUCT(($CZ$3:$CZ$42=$U6)*($DC$3:$DC$42=$U7)*$DB$3:$DB$42)+SUMPRODUCT(($CZ$3:$CZ$42=$U6)*($DC$3:$DC$42=$U8)*$DB$3:$DB$42)+SUMPRODUCT(($CZ$3:$CZ$42=$U6)*($DC$3:$DC$42=$U4)*$DB$3:$DB$42)+SUMPRODUCT(($CZ$3:$CZ$42=$U6)*($DC$3:$DC$42=$U5)*$DB$3:$DB$42)+SUMPRODUCT(($CZ$3:$CZ$42=$U7)*($DC$3:$DC$42=$U6)*$DA$3:$DA$42)+SUMPRODUCT(($CZ$3:$CZ$42=$U8)*($DC$3:$DC$42=$U6)*$DA$3:$DA$42)+SUMPRODUCT(($CZ$3:$CZ$42=$U4)*($DC$3:$DC$42=$U6)*$DA$3:$DA$42)+SUMPRODUCT(($CZ$3:$CZ$42=$U5)*($DC$3:$DC$42=$U6)*$DA$3:$DA$42)</f>
        <v>0</v>
      </c>
      <c r="AA6" s="169">
        <f>Y6-Z6+1000</f>
        <v>1000</v>
      </c>
      <c r="AB6" s="169" t="str">
        <f>IF(U6&lt;&gt;"",V6*3+W6*1,"")</f>
        <v/>
      </c>
      <c r="AC6" s="169" t="str">
        <f>IF(U6&lt;&gt;"",VLOOKUP(U6,$B$4:$H$40,7,FALSE),"")</f>
        <v/>
      </c>
      <c r="AD6" s="169" t="str">
        <f>IF(U6&lt;&gt;"",VLOOKUP(U6,$B$4:$H$40,5,FALSE),"")</f>
        <v/>
      </c>
      <c r="AE6" s="169" t="str">
        <f>IF(U6&lt;&gt;"",VLOOKUP(U6,$B$4:$J$40,9,FALSE),"")</f>
        <v/>
      </c>
      <c r="AF6" s="169" t="str">
        <f>AB6</f>
        <v/>
      </c>
      <c r="AG6" s="169" t="str">
        <f>IF(U6&lt;&gt;"",RANK(AF6,AF$4:AF$8),"")</f>
        <v/>
      </c>
      <c r="AH6" s="169" t="str">
        <f>IF(U6&lt;&gt;"",SUMPRODUCT((AF$4:AF$8=AF6)*(AA$4:AA$8&gt;AA6)),"")</f>
        <v/>
      </c>
      <c r="AI6" s="169" t="str">
        <f>IF(U6&lt;&gt;"",SUMPRODUCT((AF$4:AF$8=AF6)*(AA$4:AA$8=AA6)*(Y$4:Y$8&gt;Y6)),"")</f>
        <v/>
      </c>
      <c r="AJ6" s="169" t="str">
        <f>IF(U6&lt;&gt;"",SUMPRODUCT((AF$4:AF$8=AF6)*(AA$4:AA$8=AA6)*(Y$4:Y$8=Y6)*(AC$4:AC$8&gt;AC6)),"")</f>
        <v/>
      </c>
      <c r="AK6" s="169" t="str">
        <f>IF(U6&lt;&gt;"",SUMPRODUCT((AF$4:AF$8=AF6)*(AA$4:AA$8=AA6)*(Y$4:Y$8=Y6)*(AC$4:AC$8=AC6)*(AD$4:AD$8&gt;AD6)),"")</f>
        <v/>
      </c>
      <c r="AL6" s="169" t="str">
        <f>IF(U6&lt;&gt;"",SUMPRODUCT((AF$4:AF$8=AF6)*(AA$4:AA$8=AA6)*(Y$4:Y$8=Y6)*(AC$4:AC$8=AC6)*(AD$4:AD$8=AD6)*(AE$4:AE$8&gt;AE6)),"")</f>
        <v/>
      </c>
      <c r="AM6" s="169" t="str">
        <f>IF(U6&lt;&gt;"",SUM(AG6:AL6),"")</f>
        <v/>
      </c>
      <c r="AN6" s="169" t="str">
        <f>IF(U6&lt;&gt;"",INDEX($U$4:$U$8,MATCH(3,$AM$4:$AM$8,0),0),"")</f>
        <v/>
      </c>
      <c r="AO6" s="169" t="str">
        <f>IF(Q5&lt;&gt;"",Q5,"")</f>
        <v/>
      </c>
      <c r="AP6" s="169">
        <f>SUMPRODUCT(($CZ$3:$CZ$42=$AO6)*($DC$3:$DC$42=$AO7)*($DD$3:$DD$42="W"))+SUMPRODUCT(($CZ$3:$CZ$42=$AO6)*($DC$3:$DC$42=$AO8)*($DD$3:$DD$42="W"))+SUMPRODUCT(($CZ$3:$CZ$42=$AO6)*($DC$3:$DC$42=$AO5)*($DD$3:$DD$42="W"))+SUMPRODUCT(($CZ$3:$CZ$42=$AO7)*($DC$3:$DC$42=$AO6)*($DE$3:$DE$42="W"))+SUMPRODUCT(($CZ$3:$CZ$42=$AO8)*($DC$3:$DC$42=$AO6)*($DE$3:$DE$42="W"))+SUMPRODUCT(($CZ$3:$CZ$42=$AO5)*($DC$3:$DC$42=$AO6)*($DE$3:$DE$42="W"))</f>
        <v>0</v>
      </c>
      <c r="AQ6" s="169">
        <f>SUMPRODUCT(($CZ$3:$CZ$42=$AO6)*($DC$3:$DC$42=$AO7)*($DD$3:$DD$42="D"))+SUMPRODUCT(($CZ$3:$CZ$42=$AO6)*($DC$3:$DC$42=$AO8)*($DD$3:$DD$42="D"))+SUMPRODUCT(($CZ$3:$CZ$42=$AO6)*($DC$3:$DC$42=$AO5)*($DD$3:$DD$42="D"))+SUMPRODUCT(($CZ$3:$CZ$42=$AO7)*($DC$3:$DC$42=$AO6)*($DD$3:$DD$42="D"))+SUMPRODUCT(($CZ$3:$CZ$42=$AO8)*($DC$3:$DC$42=$AO6)*($DD$3:$DD$42="D"))+SUMPRODUCT(($CZ$3:$CZ$42=$AO5)*($DC$3:$DC$42=$AO6)*($DD$3:$DD$42="D"))</f>
        <v>0</v>
      </c>
      <c r="AR6" s="169">
        <f>SUMPRODUCT(($CZ$3:$CZ$42=$AO6)*($DC$3:$DC$42=$AO7)*($DD$3:$DD$42="L"))+SUMPRODUCT(($CZ$3:$CZ$42=$AO6)*($DC$3:$DC$42=$AO8)*($DD$3:$DD$42="L"))+SUMPRODUCT(($CZ$3:$CZ$42=$AO6)*($DC$3:$DC$42=$AO5)*($DD$3:$DD$42="L"))+SUMPRODUCT(($CZ$3:$CZ$42=$AO7)*($DC$3:$DC$42=$AO6)*($DE$3:$DE$42="L"))+SUMPRODUCT(($CZ$3:$CZ$42=$AO8)*($DC$3:$DC$42=$AO6)*($DE$3:$DE$42="L"))+SUMPRODUCT(($CZ$3:$CZ$42=$AO5)*($DC$3:$DC$42=$AO6)*($DE$3:$DE$42="L"))</f>
        <v>0</v>
      </c>
      <c r="AS6" s="169">
        <f>SUMPRODUCT(($CZ$3:$CZ$42=$AO6)*($DC$3:$DC$42=$AO7)*$DA$3:$DA$42)+SUMPRODUCT(($CZ$3:$CZ$42=$AO6)*($DC$3:$DC$42=$AO8)*$DA$3:$DA$42)+SUMPRODUCT(($CZ$3:$CZ$42=$AO6)*($DC$3:$DC$42=$AO4)*$DA$3:$DA$42)+SUMPRODUCT(($CZ$3:$CZ$42=$AO6)*($DC$3:$DC$42=$AO5)*$DA$3:$DA$42)+SUMPRODUCT(($CZ$3:$CZ$42=$AO7)*($DC$3:$DC$42=$AO6)*$DB$3:$DB$42)+SUMPRODUCT(($CZ$3:$CZ$42=$AO8)*($DC$3:$DC$42=$AO6)*$DB$3:$DB$42)+SUMPRODUCT(($CZ$3:$CZ$42=$AO4)*($DC$3:$DC$42=$AO6)*$DB$3:$DB$42)+SUMPRODUCT(($CZ$3:$CZ$42=$AO5)*($DC$3:$DC$42=$AO6)*$DB$3:$DB$42)</f>
        <v>0</v>
      </c>
      <c r="AT6" s="169">
        <f>SUMPRODUCT(($CZ$3:$CZ$42=$AO6)*($DC$3:$DC$42=$AO7)*$DB$3:$DB$42)+SUMPRODUCT(($CZ$3:$CZ$42=$AO6)*($DC$3:$DC$42=$AO8)*$DB$3:$DB$42)+SUMPRODUCT(($CZ$3:$CZ$42=$AO6)*($DC$3:$DC$42=$AO4)*$DB$3:$DB$42)+SUMPRODUCT(($CZ$3:$CZ$42=$AO6)*($DC$3:$DC$42=$AO5)*$DB$3:$DB$42)+SUMPRODUCT(($CZ$3:$CZ$42=$AO7)*($DC$3:$DC$42=$AO6)*$DA$3:$DA$42)+SUMPRODUCT(($CZ$3:$CZ$42=$AO8)*($DC$3:$DC$42=$AO6)*$DA$3:$DA$42)+SUMPRODUCT(($CZ$3:$CZ$42=$AO4)*($DC$3:$DC$42=$AO6)*$DA$3:$DA$42)+SUMPRODUCT(($CZ$3:$CZ$42=$AO5)*($DC$3:$DC$42=$AO6)*$DA$3:$DA$42)</f>
        <v>0</v>
      </c>
      <c r="AU6" s="169">
        <f>AS6-AT6+1000</f>
        <v>1000</v>
      </c>
      <c r="AV6" s="169" t="str">
        <f>IF(AO6&lt;&gt;"",AP6*3+AQ6*1,"")</f>
        <v/>
      </c>
      <c r="AW6" s="169" t="str">
        <f>IF(AO6&lt;&gt;"",VLOOKUP(AO6,$B$4:$H$40,7,FALSE),"")</f>
        <v/>
      </c>
      <c r="AX6" s="169" t="str">
        <f>IF(AO6&lt;&gt;"",VLOOKUP(AO6,$B$4:$H$40,5,FALSE),"")</f>
        <v/>
      </c>
      <c r="AY6" s="169" t="str">
        <f>IF(AO6&lt;&gt;"",VLOOKUP(AO6,$B$4:$J$40,9,FALSE),"")</f>
        <v/>
      </c>
      <c r="AZ6" s="169" t="str">
        <f>AV6</f>
        <v/>
      </c>
      <c r="BA6" s="169" t="str">
        <f>IF(AO6&lt;&gt;"",RANK(AZ6,AZ$4:AZ$8),"")</f>
        <v/>
      </c>
      <c r="BB6" s="169" t="str">
        <f>IF(AO6&lt;&gt;"",SUMPRODUCT((AZ$4:AZ$8=AZ6)*(AU$4:AU$8&gt;AU6)),"")</f>
        <v/>
      </c>
      <c r="BC6" s="169" t="str">
        <f>IF(AO6&lt;&gt;"",SUMPRODUCT((AZ$4:AZ$8=AZ6)*(AU$4:AU$8=AU6)*(AS$4:AS$8&gt;AS6)),"")</f>
        <v/>
      </c>
      <c r="BD6" s="169" t="str">
        <f>IF(AO6&lt;&gt;"",SUMPRODUCT((AZ$4:AZ$8=AZ6)*(AU$4:AU$8=AU6)*(AS$4:AS$8=AS6)*(AW$4:AW$8&gt;AW6)),"")</f>
        <v/>
      </c>
      <c r="BE6" s="169" t="str">
        <f>IF(AO6&lt;&gt;"",SUMPRODUCT((AZ$4:AZ$8=AZ6)*(AU$4:AU$8=AU6)*(AS$4:AS$8=AS6)*(AW$4:AW$8=AW6)*(AX$4:AX$8&gt;AX6)),"")</f>
        <v/>
      </c>
      <c r="BF6" s="169" t="str">
        <f>IF(AO6&lt;&gt;"",SUMPRODUCT((AZ$4:AZ$8=AZ6)*(AU$4:AU$8=AU6)*(AS$4:AS$8=AS6)*(AW$4:AW$8=AW6)*(AX$4:AX$8=AX6)*(AY$4:AY$8&gt;AY6)),"")</f>
        <v/>
      </c>
      <c r="BG6" s="169" t="str">
        <f>IF(AO6&lt;&gt;"",SUM(BA6:BF6)+1,"")</f>
        <v/>
      </c>
      <c r="BH6" s="169" t="str">
        <f>IF(AO6&lt;&gt;"",INDEX(AO5:AO8,MATCH(3,BG5:BG8,0),0),"")</f>
        <v/>
      </c>
      <c r="BI6" s="169" t="str">
        <f>IF(R4&lt;&gt;"",R4,"")</f>
        <v/>
      </c>
      <c r="BJ6" s="169">
        <f>SUMPRODUCT(($CZ$3:$CZ$42=$BI6)*($DC$3:$DC$42=$BI7)*($DD$3:$DD$42="W"))+SUMPRODUCT(($CZ$3:$CZ$42=$BI6)*($DC$3:$DC$42=$BI8)*($DD$3:$DD$42="W"))+SUMPRODUCT(($CZ$3:$CZ$42=$BI6)*($DC$3:$DC$42=$BI9)*($DD$3:$DD$42="W"))+SUMPRODUCT(($CZ$3:$CZ$42=$BI7)*($DC$3:$DC$42=$BI6)*($DE$3:$DE$42="W"))+SUMPRODUCT(($CZ$3:$CZ$42=$BI8)*($DC$3:$DC$42=$BI6)*($DE$3:$DE$42="W"))+SUMPRODUCT(($CZ$3:$CZ$42=$BI9)*($DC$3:$DC$42=$BI6)*($DE$3:$DE$42="W"))</f>
        <v>0</v>
      </c>
      <c r="BK6" s="169">
        <f>SUMPRODUCT(($CZ$3:$CZ$42=$BI6)*($DC$3:$DC$42=$BI7)*($DD$3:$DD$42="D"))+SUMPRODUCT(($CZ$3:$CZ$42=$BI6)*($DC$3:$DC$42=$BI8)*($DD$3:$DD$42="D"))+SUMPRODUCT(($CZ$3:$CZ$42=$BI6)*($DC$3:$DC$42=$BI9)*($DD$3:$DD$42="D"))+SUMPRODUCT(($CZ$3:$CZ$42=$BI7)*($DC$3:$DC$42=$BI6)*($DD$3:$DD$42="D"))+SUMPRODUCT(($CZ$3:$CZ$42=$BI8)*($DC$3:$DC$42=$BI6)*($DD$3:$DD$42="D"))+SUMPRODUCT(($CZ$3:$CZ$42=$BI9)*($DC$3:$DC$42=$BI6)*($DD$3:$DD$42="D"))</f>
        <v>0</v>
      </c>
      <c r="BL6" s="169">
        <f>SUMPRODUCT(($CZ$3:$CZ$42=$BI6)*($DC$3:$DC$42=$BI7)*($DD$3:$DD$42="L"))+SUMPRODUCT(($CZ$3:$CZ$42=$BI6)*($DC$3:$DC$42=$BI8)*($DD$3:$DD$42="L"))+SUMPRODUCT(($CZ$3:$CZ$42=$BI6)*($DC$3:$DC$42=$BI9)*($DD$3:$DD$42="L"))+SUMPRODUCT(($CZ$3:$CZ$42=$BI7)*($DC$3:$DC$42=$BI6)*($DE$3:$DE$42="L"))+SUMPRODUCT(($CZ$3:$CZ$42=$BI8)*($DC$3:$DC$42=$BI6)*($DE$3:$DE$42="L"))+SUMPRODUCT(($CZ$3:$CZ$42=$BI9)*($DC$3:$DC$42=$BI6)*($DE$3:$DE$42="L"))</f>
        <v>0</v>
      </c>
      <c r="BM6" s="169">
        <f>SUMPRODUCT(($CZ$3:$CZ$42=$BI6)*($DC$3:$DC$42=$BI7)*$DA$3:$DA$42)+SUMPRODUCT(($CZ$3:$CZ$42=$BI6)*($DC$3:$DC$42=$BI8)*$DA$3:$DA$42)+SUMPRODUCT(($CZ$3:$CZ$42=$BI6)*($DC$3:$DC$42=$BI4)*$DA$3:$DA$42)+SUMPRODUCT(($CZ$3:$CZ$42=$BI6)*($DC$3:$DC$42=$BI5)*$DA$3:$DA$42)+SUMPRODUCT(($CZ$3:$CZ$42=$BI7)*($DC$3:$DC$42=$BI6)*$DB$3:$DB$42)+SUMPRODUCT(($CZ$3:$CZ$42=$BI8)*($DC$3:$DC$42=$BI6)*$DB$3:$DB$42)+SUMPRODUCT(($CZ$3:$CZ$42=$BI4)*($DC$3:$DC$42=$BI6)*$DB$3:$DB$42)+SUMPRODUCT(($CZ$3:$CZ$42=$BI5)*($DC$3:$DC$42=$BI6)*$DB$3:$DB$42)</f>
        <v>0</v>
      </c>
      <c r="BN6" s="169">
        <f>SUMPRODUCT(($CZ$3:$CZ$42=$BI6)*($DC$3:$DC$42=$BI7)*$DB$3:$DB$42)+SUMPRODUCT(($CZ$3:$CZ$42=$BI6)*($DC$3:$DC$42=$BI8)*$DB$3:$DB$42)+SUMPRODUCT(($CZ$3:$CZ$42=$BI6)*($DC$3:$DC$42=$BI4)*$DB$3:$DB$42)+SUMPRODUCT(($CZ$3:$CZ$42=$BI6)*($DC$3:$DC$42=$BI5)*$DB$3:$DB$42)+SUMPRODUCT(($CZ$3:$CZ$42=$BI7)*($DC$3:$DC$42=$BI6)*$DA$3:$DA$42)+SUMPRODUCT(($CZ$3:$CZ$42=$BI8)*($DC$3:$DC$42=$BI6)*$DA$3:$DA$42)+SUMPRODUCT(($CZ$3:$CZ$42=$BI4)*($DC$3:$DC$42=$BI6)*$DA$3:$DA$42)+SUMPRODUCT(($CZ$3:$CZ$42=$BI5)*($DC$3:$DC$42=$BI6)*$DA$3:$DA$42)</f>
        <v>0</v>
      </c>
      <c r="BO6" s="169">
        <f>BM6-BN6+1000</f>
        <v>1000</v>
      </c>
      <c r="BP6" s="169" t="str">
        <f>IF(BI6&lt;&gt;"",BJ6*3+BK6*1,"")</f>
        <v/>
      </c>
      <c r="BQ6" s="169" t="str">
        <f>IF(BI6&lt;&gt;"",VLOOKUP(BI6,$B$4:$H$40,7,FALSE),"")</f>
        <v/>
      </c>
      <c r="BR6" s="169" t="str">
        <f>IF(BI6&lt;&gt;"",VLOOKUP(BI6,$B$4:$H$40,5,FALSE),"")</f>
        <v/>
      </c>
      <c r="BS6" s="169" t="str">
        <f>IF(BI6&lt;&gt;"",VLOOKUP(BI6,$B$4:$J$40,9,FALSE),"")</f>
        <v/>
      </c>
      <c r="BT6" s="169" t="str">
        <f>BP6</f>
        <v/>
      </c>
      <c r="BU6" s="169" t="str">
        <f>IF(BI6&lt;&gt;"",RANK(BT6,BT$4:BT$8),"")</f>
        <v/>
      </c>
      <c r="BV6" s="169" t="str">
        <f>IF(BI6&lt;&gt;"",SUMPRODUCT((BT$4:BT$8=BT6)*(BO$4:BO$8&gt;BO6)),"")</f>
        <v/>
      </c>
      <c r="BW6" s="169" t="str">
        <f>IF(BI6&lt;&gt;"",SUMPRODUCT((BT$4:BT$8=BT6)*(BO$4:BO$8=BO6)*(BM$4:BM$8&gt;BM6)),"")</f>
        <v/>
      </c>
      <c r="BX6" s="169" t="str">
        <f>IF(BI6&lt;&gt;"",SUMPRODUCT((BT$4:BT$8=BT6)*(BO$4:BO$8=BO6)*(BM$4:BM$8=BM6)*(BQ$4:BQ$8&gt;BQ6)),"")</f>
        <v/>
      </c>
      <c r="BY6" s="169" t="str">
        <f>IF(BI6&lt;&gt;"",SUMPRODUCT((BT$4:BT$8=BT6)*(BO$4:BO$8=BO6)*(BM$4:BM$8=BM6)*(BQ$4:BQ$8=BQ6)*(BR$4:BR$8&gt;BR6)),"")</f>
        <v/>
      </c>
      <c r="BZ6" s="169" t="str">
        <f>IF(BI6&lt;&gt;"",SUMPRODUCT((BT$4:BT$8=BT6)*(BO$4:BO$8=BO6)*(BM$4:BM$8=BM6)*(BQ$4:BQ$8=BQ6)*(BR$4:BR$8=BR6)*(BS$4:BS$8&gt;BS6)),"")</f>
        <v/>
      </c>
      <c r="CA6" s="169" t="str">
        <f>IF(BI6&lt;&gt;"",SUM(BU6:BZ6)+2,"")</f>
        <v/>
      </c>
      <c r="CB6" s="169" t="str">
        <f>IF(BI6&lt;&gt;"",INDEX(BI6:BI8,MATCH(3,CA6:CA8,0),0),"")</f>
        <v/>
      </c>
      <c r="CW6" s="169" t="str">
        <f>IF(CB6&lt;&gt;"",CB6,IF(BH6&lt;&gt;"",BH6,IF(AN6&lt;&gt;"",AN6,N6)))</f>
        <v>Albanien</v>
      </c>
      <c r="CX6" s="169">
        <v>3</v>
      </c>
      <c r="CY6" s="169">
        <v>4</v>
      </c>
      <c r="CZ6" s="169" t="str">
        <f>Tournament!H16</f>
        <v>England</v>
      </c>
      <c r="DA6" s="169">
        <f>IF(AND(Tournament!J16&lt;&gt;"",Tournament!L16&lt;&gt;""),Tournament!J16,0)</f>
        <v>1</v>
      </c>
      <c r="DB6" s="169">
        <f>IF(AND(Tournament!L16&lt;&gt;"",Tournament!J16&lt;&gt;""),Tournament!L16,0)</f>
        <v>1</v>
      </c>
      <c r="DC6" s="169" t="str">
        <f>Tournament!N16</f>
        <v>Russland</v>
      </c>
      <c r="DD6" s="169" t="str">
        <f>IF(AND(Tournament!J16&lt;&gt;"",Tournament!L16&lt;&gt;""),IF(DA6&gt;DB6,"W",IF(DA6=DB6,"D","L")),"")</f>
        <v>D</v>
      </c>
      <c r="DE6" s="169" t="str">
        <f t="shared" si="6"/>
        <v>D</v>
      </c>
      <c r="DH6" s="169" t="str">
        <f>Tournament!AD29</f>
        <v>Truthahn</v>
      </c>
      <c r="DI6" s="171">
        <f>Tournament!AI29</f>
        <v>1</v>
      </c>
      <c r="DJ6" s="171">
        <f>Tournament!AJ29</f>
        <v>0</v>
      </c>
      <c r="DK6" s="171">
        <f>Tournament!AK29</f>
        <v>2</v>
      </c>
      <c r="DL6" s="171">
        <f>Tournament!AL29</f>
        <v>2</v>
      </c>
      <c r="DM6" s="171">
        <f>Tournament!AN29</f>
        <v>4</v>
      </c>
      <c r="DN6" s="171">
        <f>Tournament!AO29</f>
        <v>-2</v>
      </c>
      <c r="DO6" s="171">
        <f>Tournament!AP29</f>
        <v>3</v>
      </c>
      <c r="DP6" s="169">
        <f t="shared" si="0"/>
        <v>15</v>
      </c>
      <c r="DQ6" s="169">
        <f t="shared" si="1"/>
        <v>3</v>
      </c>
      <c r="DR6" s="169">
        <f t="shared" si="2"/>
        <v>2</v>
      </c>
      <c r="DS6" s="169">
        <f t="shared" si="3"/>
        <v>0</v>
      </c>
      <c r="DT6" s="169">
        <f t="shared" si="4"/>
        <v>0</v>
      </c>
      <c r="DU6" s="169">
        <f t="shared" si="5"/>
        <v>5</v>
      </c>
      <c r="DV6" s="169" t="s">
        <v>20</v>
      </c>
      <c r="DW6" s="169">
        <v>4</v>
      </c>
    </row>
    <row r="7" spans="1:128" x14ac:dyDescent="0.2">
      <c r="A7" s="169">
        <f>VLOOKUP(B7,$CW$4:$CX$8,2,FALSE)</f>
        <v>2</v>
      </c>
      <c r="B7" s="169" t="str">
        <f>'Countries and Timezone'!C10</f>
        <v>Schweiz</v>
      </c>
      <c r="C7" s="169">
        <f>SUMPRODUCT(($CZ$3:$CZ$42=$B7)*($DD$3:$DD$42="W"))+SUMPRODUCT(($DC$3:$DC$42=$B7)*($DE$3:$DE$42="W"))</f>
        <v>1</v>
      </c>
      <c r="D7" s="169">
        <f>SUMPRODUCT(($CZ$3:$CZ$42=$B7)*($DD$3:$DD$42="D"))+SUMPRODUCT(($DC$3:$DC$42=$B7)*($DE$3:$DE$42="D"))</f>
        <v>2</v>
      </c>
      <c r="E7" s="169">
        <f>SUMPRODUCT(($CZ$3:$CZ$42=$B7)*($DD$3:$DD$42="L"))+SUMPRODUCT(($DC$3:$DC$42=$B7)*($DE$3:$DE$42="L"))</f>
        <v>0</v>
      </c>
      <c r="F7" s="169">
        <f>SUMIF($CZ$3:$CZ$60,B7,$DA$3:$DA$60)+SUMIF($DC$3:$DC$60,B7,$DB$3:$DB$60)</f>
        <v>2</v>
      </c>
      <c r="G7" s="169">
        <f>SUMIF($DC$3:$DC$60,B7,$DA$3:$DA$60)+SUMIF($CZ$3:$CZ$60,B7,$DB$3:$DB$60)</f>
        <v>1</v>
      </c>
      <c r="H7" s="169">
        <f>F7-G7+1000</f>
        <v>1001</v>
      </c>
      <c r="I7" s="169">
        <f>C7*3+D7*1</f>
        <v>5</v>
      </c>
      <c r="J7" s="169">
        <v>10</v>
      </c>
      <c r="K7" s="169">
        <f>RANK(I7,I$4:I$8)</f>
        <v>2</v>
      </c>
      <c r="M7" s="169">
        <f>RANK(I7,$I$4:$I$8)+COUNTIF($I$4:I7,I7)-1</f>
        <v>2</v>
      </c>
      <c r="N7" s="169" t="str">
        <f>INDEX($B$4:$B$8,MATCH(4,$M$4:$M$8,0),0)</f>
        <v>Rumänien</v>
      </c>
      <c r="O7" s="169">
        <f>INDEX($K$4:$K$8,MATCH(N7,$B$4:$B$8,0),0)</f>
        <v>4</v>
      </c>
      <c r="P7" s="169" t="str">
        <f>IF(AND(P6&lt;&gt;"",O7=1),N7,"")</f>
        <v/>
      </c>
      <c r="Q7" s="169" t="str">
        <f>IF(AND(Q6&lt;&gt;"",O8=2),N8,"")</f>
        <v/>
      </c>
      <c r="U7" s="169" t="str">
        <f>IF(P7&lt;&gt;"",P7,"")</f>
        <v/>
      </c>
      <c r="V7" s="169">
        <f>SUMPRODUCT(($CZ$3:$CZ$42=$U7)*($DC$3:$DC$42=$U8)*($DD$3:$DD$42="W"))+SUMPRODUCT(($CZ$3:$CZ$42=$U7)*($DC$3:$DC$42=$U4)*($DD$3:$DD$42="W"))+SUMPRODUCT(($CZ$3:$CZ$42=$U7)*($DC$3:$DC$42=$U5)*($DD$3:$DD$42="W"))+SUMPRODUCT(($CZ$3:$CZ$42=$U7)*($DC$3:$DC$42=$U6)*($DD$3:$DD$42="W"))+SUMPRODUCT(($CZ$3:$CZ$42=$U8)*($DC$3:$DC$42=$U7)*($DE$3:$DE$42="W"))+SUMPRODUCT(($CZ$3:$CZ$42=$U4)*($DC$3:$DC$42=$U7)*($DE$3:$DE$42="W"))+SUMPRODUCT(($CZ$3:$CZ$42=$U5)*($DC$3:$DC$42=$U7)*($DE$3:$DE$42="W"))+SUMPRODUCT(($CZ$3:$CZ$42=$U6)*($DC$3:$DC$42=$U7)*($DE$3:$DE$42="W"))</f>
        <v>0</v>
      </c>
      <c r="W7" s="169">
        <f>SUMPRODUCT(($CZ$3:$CZ$42=$U7)*($DC$3:$DC$42=$U8)*($DD$3:$DD$42="D"))+SUMPRODUCT(($CZ$3:$CZ$42=$U7)*($DC$3:$DC$42=$U4)*($DD$3:$DD$42="D"))+SUMPRODUCT(($CZ$3:$CZ$42=$U7)*($DC$3:$DC$42=$U5)*($DD$3:$DD$42="D"))+SUMPRODUCT(($CZ$3:$CZ$42=$U7)*($DC$3:$DC$42=$U6)*($DD$3:$DD$42="D"))+SUMPRODUCT(($CZ$3:$CZ$42=$U8)*($DC$3:$DC$42=$U7)*($DD$3:$DD$42="D"))+SUMPRODUCT(($CZ$3:$CZ$42=$U4)*($DC$3:$DC$42=$U7)*($DD$3:$DD$42="D"))+SUMPRODUCT(($CZ$3:$CZ$42=$U5)*($DC$3:$DC$42=$U7)*($DD$3:$DD$42="D"))+SUMPRODUCT(($CZ$3:$CZ$42=$U6)*($DC$3:$DC$42=$U7)*($DD$3:$DD$42="D"))</f>
        <v>0</v>
      </c>
      <c r="X7" s="169">
        <f>SUMPRODUCT(($CZ$3:$CZ$42=$U7)*($DC$3:$DC$42=$U8)*($DD$3:$DD$42="L"))+SUMPRODUCT(($CZ$3:$CZ$42=$U7)*($DC$3:$DC$42=$U4)*($DD$3:$DD$42="L"))+SUMPRODUCT(($CZ$3:$CZ$42=$U7)*($DC$3:$DC$42=$U5)*($DD$3:$DD$42="L"))+SUMPRODUCT(($CZ$3:$CZ$42=$U7)*($DC$3:$DC$42=$U6)*($DD$3:$DD$42="L"))+SUMPRODUCT(($CZ$3:$CZ$42=$U8)*($DC$3:$DC$42=$U7)*($DE$3:$DE$42="L"))+SUMPRODUCT(($CZ$3:$CZ$42=$U4)*($DC$3:$DC$42=$U7)*($DE$3:$DE$42="L"))+SUMPRODUCT(($CZ$3:$CZ$42=$U5)*($DC$3:$DC$42=$U7)*($DE$3:$DE$42="L"))+SUMPRODUCT(($CZ$3:$CZ$42=$U6)*($DC$3:$DC$42=$U7)*($DE$3:$DE$42="L"))</f>
        <v>0</v>
      </c>
      <c r="Y7" s="169">
        <f>SUMPRODUCT(($CZ$3:$CZ$42=$U7)*($DC$3:$DC$42=$U8)*$DA$3:$DA$42)+SUMPRODUCT(($CZ$3:$CZ$42=$U7)*($DC$3:$DC$42=$U4)*$DA$3:$DA$42)+SUMPRODUCT(($CZ$3:$CZ$42=$U7)*($DC$3:$DC$42=$U5)*$DA$3:$DA$42)+SUMPRODUCT(($CZ$3:$CZ$42=$U7)*($DC$3:$DC$42=$U6)*$DA$3:$DA$42)+SUMPRODUCT(($CZ$3:$CZ$42=$U8)*($DC$3:$DC$42=$U7)*$DB$3:$DB$42)+SUMPRODUCT(($CZ$3:$CZ$42=$U4)*($DC$3:$DC$42=$U7)*$DB$3:$DB$42)+SUMPRODUCT(($CZ$3:$CZ$42=$U5)*($DC$3:$DC$42=$U7)*$DB$3:$DB$42)+SUMPRODUCT(($CZ$3:$CZ$42=$U6)*($DC$3:$DC$42=$U7)*$DB$3:$DB$42)</f>
        <v>0</v>
      </c>
      <c r="Z7" s="169">
        <f>SUMPRODUCT(($CZ$3:$CZ$42=$U7)*($DC$3:$DC$42=$U8)*$DB$3:$DB$42)+SUMPRODUCT(($CZ$3:$CZ$42=$U7)*($DC$3:$DC$42=$U4)*$DB$3:$DB$42)+SUMPRODUCT(($CZ$3:$CZ$42=$U7)*($DC$3:$DC$42=$U5)*$DB$3:$DB$42)+SUMPRODUCT(($CZ$3:$CZ$42=$U7)*($DC$3:$DC$42=$U6)*$DB$3:$DB$42)+SUMPRODUCT(($CZ$3:$CZ$42=$U8)*($DC$3:$DC$42=$U7)*$DA$3:$DA$42)+SUMPRODUCT(($CZ$3:$CZ$42=$U4)*($DC$3:$DC$42=$U7)*$DA$3:$DA$42)+SUMPRODUCT(($CZ$3:$CZ$42=$U5)*($DC$3:$DC$42=$U7)*$DA$3:$DA$42)+SUMPRODUCT(($CZ$3:$CZ$42=$U6)*($DC$3:$DC$42=$U7)*$DA$3:$DA$42)</f>
        <v>0</v>
      </c>
      <c r="AA7" s="169">
        <f>Y7-Z7+1000</f>
        <v>1000</v>
      </c>
      <c r="AB7" s="169" t="str">
        <f>IF(U7&lt;&gt;"",V7*3+W7*1,"")</f>
        <v/>
      </c>
      <c r="AC7" s="169" t="str">
        <f>IF(U7&lt;&gt;"",VLOOKUP(U7,$B$4:$H$40,7,FALSE),"")</f>
        <v/>
      </c>
      <c r="AD7" s="169" t="str">
        <f>IF(U7&lt;&gt;"",VLOOKUP(U7,$B$4:$H$40,5,FALSE),"")</f>
        <v/>
      </c>
      <c r="AE7" s="169" t="str">
        <f>IF(U7&lt;&gt;"",VLOOKUP(U7,$B$4:$J$40,9,FALSE),"")</f>
        <v/>
      </c>
      <c r="AF7" s="169" t="str">
        <f>AB7</f>
        <v/>
      </c>
      <c r="AG7" s="169" t="str">
        <f>IF(U7&lt;&gt;"",RANK(AF7,AF$4:AF$8),"")</f>
        <v/>
      </c>
      <c r="AH7" s="169" t="str">
        <f>IF(U7&lt;&gt;"",SUMPRODUCT((AF$4:AF$8=AF7)*(AA$4:AA$8&gt;AA7)),"")</f>
        <v/>
      </c>
      <c r="AI7" s="169" t="str">
        <f>IF(U7&lt;&gt;"",SUMPRODUCT((AF$4:AF$8=AF7)*(AA$4:AA$8=AA7)*(Y$4:Y$8&gt;Y7)),"")</f>
        <v/>
      </c>
      <c r="AJ7" s="169" t="str">
        <f>IF(U7&lt;&gt;"",SUMPRODUCT((AF$4:AF$8=AF7)*(AA$4:AA$8=AA7)*(Y$4:Y$8=Y7)*(AC$4:AC$8&gt;AC7)),"")</f>
        <v/>
      </c>
      <c r="AK7" s="169" t="str">
        <f>IF(U7&lt;&gt;"",SUMPRODUCT((AF$4:AF$8=AF7)*(AA$4:AA$8=AA7)*(Y$4:Y$8=Y7)*(AC$4:AC$8=AC7)*(AD$4:AD$8&gt;AD7)),"")</f>
        <v/>
      </c>
      <c r="AL7" s="169" t="str">
        <f>IF(U7&lt;&gt;"",SUMPRODUCT((AF$4:AF$8=AF7)*(AA$4:AA$8=AA7)*(Y$4:Y$8=Y7)*(AC$4:AC$8=AC7)*(AD$4:AD$8=AD7)*(AE$4:AE$8&gt;AE7)),"")</f>
        <v/>
      </c>
      <c r="AM7" s="169" t="str">
        <f>IF(U7&lt;&gt;"",SUM(AG7:AL7),"")</f>
        <v/>
      </c>
      <c r="AN7" s="169" t="str">
        <f>IF(U7&lt;&gt;"",INDEX($U$4:$U$8,MATCH(4,$AM$4:$AM$8,0),0),"")</f>
        <v/>
      </c>
      <c r="AO7" s="169" t="str">
        <f>IF(Q6&lt;&gt;"",Q6,"")</f>
        <v/>
      </c>
      <c r="AP7" s="169">
        <f>SUMPRODUCT(($CZ$3:$CZ$42=$AO7)*($DC$3:$DC$42=$AO8)*($DD$3:$DD$42="W"))+SUMPRODUCT(($CZ$3:$CZ$42=$AO7)*($DC$3:$DC$42=$AO5)*($DD$3:$DD$42="W"))+SUMPRODUCT(($CZ$3:$CZ$42=$AO7)*($DC$3:$DC$42=$AO6)*($DD$3:$DD$42="W"))+SUMPRODUCT(($CZ$3:$CZ$42=$AO8)*($DC$3:$DC$42=$AO7)*($DE$3:$DE$42="W"))+SUMPRODUCT(($CZ$3:$CZ$42=$AO5)*($DC$3:$DC$42=$AO7)*($DE$3:$DE$42="W"))+SUMPRODUCT(($CZ$3:$CZ$42=$AO6)*($DC$3:$DC$42=$AO7)*($DE$3:$DE$42="W"))</f>
        <v>0</v>
      </c>
      <c r="AQ7" s="169">
        <f>SUMPRODUCT(($CZ$3:$CZ$42=$AO7)*($DC$3:$DC$42=$AO8)*($DD$3:$DD$42="D"))+SUMPRODUCT(($CZ$3:$CZ$42=$AO7)*($DC$3:$DC$42=$AO5)*($DD$3:$DD$42="D"))+SUMPRODUCT(($CZ$3:$CZ$42=$AO7)*($DC$3:$DC$42=$AO6)*($DD$3:$DD$42="D"))+SUMPRODUCT(($CZ$3:$CZ$42=$AO8)*($DC$3:$DC$42=$AO7)*($DD$3:$DD$42="D"))+SUMPRODUCT(($CZ$3:$CZ$42=$AO5)*($DC$3:$DC$42=$AO7)*($DD$3:$DD$42="D"))+SUMPRODUCT(($CZ$3:$CZ$42=$AO6)*($DC$3:$DC$42=$AO7)*($DD$3:$DD$42="D"))</f>
        <v>0</v>
      </c>
      <c r="AR7" s="169">
        <f>SUMPRODUCT(($CZ$3:$CZ$42=$AO7)*($DC$3:$DC$42=$AO8)*($DD$3:$DD$42="L"))+SUMPRODUCT(($CZ$3:$CZ$42=$AO7)*($DC$3:$DC$42=$AO5)*($DD$3:$DD$42="L"))+SUMPRODUCT(($CZ$3:$CZ$42=$AO7)*($DC$3:$DC$42=$AO6)*($DD$3:$DD$42="L"))+SUMPRODUCT(($CZ$3:$CZ$42=$AO8)*($DC$3:$DC$42=$AO7)*($DE$3:$DE$42="L"))+SUMPRODUCT(($CZ$3:$CZ$42=$AO5)*($DC$3:$DC$42=$AO7)*($DE$3:$DE$42="L"))+SUMPRODUCT(($CZ$3:$CZ$42=$AO6)*($DC$3:$DC$42=$AO7)*($DE$3:$DE$42="L"))</f>
        <v>0</v>
      </c>
      <c r="AS7" s="169">
        <f>SUMPRODUCT(($CZ$3:$CZ$42=$AO7)*($DC$3:$DC$42=$AO8)*$DA$3:$DA$42)+SUMPRODUCT(($CZ$3:$CZ$42=$AO7)*($DC$3:$DC$42=$AO4)*$DA$3:$DA$42)+SUMPRODUCT(($CZ$3:$CZ$42=$AO7)*($DC$3:$DC$42=$AO5)*$DA$3:$DA$42)+SUMPRODUCT(($CZ$3:$CZ$42=$AO7)*($DC$3:$DC$42=$AO6)*$DA$3:$DA$42)+SUMPRODUCT(($CZ$3:$CZ$42=$AO8)*($DC$3:$DC$42=$AO7)*$DB$3:$DB$42)+SUMPRODUCT(($CZ$3:$CZ$42=$AO4)*($DC$3:$DC$42=$AO7)*$DB$3:$DB$42)+SUMPRODUCT(($CZ$3:$CZ$42=$AO5)*($DC$3:$DC$42=$AO7)*$DB$3:$DB$42)+SUMPRODUCT(($CZ$3:$CZ$42=$AO6)*($DC$3:$DC$42=$AO7)*$DB$3:$DB$42)</f>
        <v>0</v>
      </c>
      <c r="AT7" s="169">
        <f>SUMPRODUCT(($CZ$3:$CZ$42=$AO7)*($DC$3:$DC$42=$AO8)*$DB$3:$DB$42)+SUMPRODUCT(($CZ$3:$CZ$42=$AO7)*($DC$3:$DC$42=$AO4)*$DB$3:$DB$42)+SUMPRODUCT(($CZ$3:$CZ$42=$AO7)*($DC$3:$DC$42=$AO5)*$DB$3:$DB$42)+SUMPRODUCT(($CZ$3:$CZ$42=$AO7)*($DC$3:$DC$42=$AO6)*$DB$3:$DB$42)+SUMPRODUCT(($CZ$3:$CZ$42=$AO8)*($DC$3:$DC$42=$AO7)*$DA$3:$DA$42)+SUMPRODUCT(($CZ$3:$CZ$42=$AO4)*($DC$3:$DC$42=$AO7)*$DA$3:$DA$42)+SUMPRODUCT(($CZ$3:$CZ$42=$AO5)*($DC$3:$DC$42=$AO7)*$DA$3:$DA$42)+SUMPRODUCT(($CZ$3:$CZ$42=$AO6)*($DC$3:$DC$42=$AO7)*$DA$3:$DA$42)</f>
        <v>0</v>
      </c>
      <c r="AU7" s="169">
        <f>AS7-AT7+1000</f>
        <v>1000</v>
      </c>
      <c r="AV7" s="169" t="str">
        <f>IF(AO7&lt;&gt;"",AP7*3+AQ7*1,"")</f>
        <v/>
      </c>
      <c r="AW7" s="169" t="str">
        <f>IF(AO7&lt;&gt;"",VLOOKUP(AO7,$B$4:$H$40,7,FALSE),"")</f>
        <v/>
      </c>
      <c r="AX7" s="169" t="str">
        <f>IF(AO7&lt;&gt;"",VLOOKUP(AO7,$B$4:$H$40,5,FALSE),"")</f>
        <v/>
      </c>
      <c r="AY7" s="169" t="str">
        <f>IF(AO7&lt;&gt;"",VLOOKUP(AO7,$B$4:$J$40,9,FALSE),"")</f>
        <v/>
      </c>
      <c r="AZ7" s="169" t="str">
        <f>AV7</f>
        <v/>
      </c>
      <c r="BA7" s="169" t="str">
        <f>IF(AO7&lt;&gt;"",RANK(AZ7,AZ$4:AZ$8),"")</f>
        <v/>
      </c>
      <c r="BB7" s="169" t="str">
        <f>IF(AO7&lt;&gt;"",SUMPRODUCT((AZ$4:AZ$8=AZ7)*(AU$4:AU$8&gt;AU7)),"")</f>
        <v/>
      </c>
      <c r="BC7" s="169" t="str">
        <f>IF(AO7&lt;&gt;"",SUMPRODUCT((AZ$4:AZ$8=AZ7)*(AU$4:AU$8=AU7)*(AS$4:AS$8&gt;AS7)),"")</f>
        <v/>
      </c>
      <c r="BD7" s="169" t="str">
        <f>IF(AO7&lt;&gt;"",SUMPRODUCT((AZ$4:AZ$8=AZ7)*(AU$4:AU$8=AU7)*(AS$4:AS$8=AS7)*(AW$4:AW$8&gt;AW7)),"")</f>
        <v/>
      </c>
      <c r="BE7" s="169" t="str">
        <f>IF(AO7&lt;&gt;"",SUMPRODUCT((AZ$4:AZ$8=AZ7)*(AU$4:AU$8=AU7)*(AS$4:AS$8=AS7)*(AW$4:AW$8=AW7)*(AX$4:AX$8&gt;AX7)),"")</f>
        <v/>
      </c>
      <c r="BF7" s="169" t="str">
        <f>IF(AO7&lt;&gt;"",SUMPRODUCT((AZ$4:AZ$8=AZ7)*(AU$4:AU$8=AU7)*(AS$4:AS$8=AS7)*(AW$4:AW$8=AW7)*(AX$4:AX$8=AX7)*(AY$4:AY$8&gt;AY7)),"")</f>
        <v/>
      </c>
      <c r="BG7" s="169" t="str">
        <f>IF(AO7&lt;&gt;"",SUM(BA7:BF7)+1,"")</f>
        <v/>
      </c>
      <c r="BH7" s="169" t="str">
        <f>IF(AO7&lt;&gt;"",INDEX(AO5:AO8,MATCH(4,BG5:BG8,0),0),"")</f>
        <v/>
      </c>
      <c r="BI7" s="169" t="str">
        <f>IF(R5&lt;&gt;"",R5,"")</f>
        <v/>
      </c>
      <c r="BJ7" s="169">
        <f>SUMPRODUCT(($CZ$3:$CZ$42=$BI7)*($DC$3:$DC$42=$BI8)*($DD$3:$DD$42="W"))+SUMPRODUCT(($CZ$3:$CZ$42=$BI7)*($DC$3:$DC$42=$BI9)*($DD$3:$DD$42="W"))+SUMPRODUCT(($CZ$3:$CZ$42=$BI7)*($DC$3:$DC$42=$BI6)*($DD$3:$DD$42="W"))+SUMPRODUCT(($CZ$3:$CZ$42=$BI8)*($DC$3:$DC$42=$BI7)*($DE$3:$DE$42="W"))+SUMPRODUCT(($CZ$3:$CZ$42=$BI9)*($DC$3:$DC$42=$BI7)*($DE$3:$DE$42="W"))+SUMPRODUCT(($CZ$3:$CZ$42=$BI6)*($DC$3:$DC$42=$BI7)*($DE$3:$DE$42="W"))</f>
        <v>0</v>
      </c>
      <c r="BK7" s="169">
        <f>SUMPRODUCT(($CZ$3:$CZ$42=$BI7)*($DC$3:$DC$42=$BI8)*($DD$3:$DD$42="D"))+SUMPRODUCT(($CZ$3:$CZ$42=$BI7)*($DC$3:$DC$42=$BI9)*($DD$3:$DD$42="D"))+SUMPRODUCT(($CZ$3:$CZ$42=$BI7)*($DC$3:$DC$42=$BI6)*($DD$3:$DD$42="D"))+SUMPRODUCT(($CZ$3:$CZ$42=$BI8)*($DC$3:$DC$42=$BI7)*($DD$3:$DD$42="D"))+SUMPRODUCT(($CZ$3:$CZ$42=$BI9)*($DC$3:$DC$42=$BI7)*($DD$3:$DD$42="D"))+SUMPRODUCT(($CZ$3:$CZ$42=$BI6)*($DC$3:$DC$42=$BI7)*($DD$3:$DD$42="D"))</f>
        <v>0</v>
      </c>
      <c r="BL7" s="169">
        <f>SUMPRODUCT(($CZ$3:$CZ$42=$BI7)*($DC$3:$DC$42=$BI8)*($DD$3:$DD$42="L"))+SUMPRODUCT(($CZ$3:$CZ$42=$BI7)*($DC$3:$DC$42=$BI9)*($DD$3:$DD$42="L"))+SUMPRODUCT(($CZ$3:$CZ$42=$BI7)*($DC$3:$DC$42=$BI6)*($DD$3:$DD$42="L"))+SUMPRODUCT(($CZ$3:$CZ$42=$BI8)*($DC$3:$DC$42=$BI7)*($DE$3:$DE$42="L"))+SUMPRODUCT(($CZ$3:$CZ$42=$BI9)*($DC$3:$DC$42=$BI7)*($DE$3:$DE$42="L"))+SUMPRODUCT(($CZ$3:$CZ$42=$BI6)*($DC$3:$DC$42=$BI7)*($DE$3:$DE$42="L"))</f>
        <v>0</v>
      </c>
      <c r="BM7" s="169">
        <f>SUMPRODUCT(($CZ$3:$CZ$42=$BI7)*($DC$3:$DC$42=$BI8)*$DA$3:$DA$42)+SUMPRODUCT(($CZ$3:$CZ$42=$BI7)*($DC$3:$DC$42=$BI4)*$DA$3:$DA$42)+SUMPRODUCT(($CZ$3:$CZ$42=$BI7)*($DC$3:$DC$42=$BI5)*$DA$3:$DA$42)+SUMPRODUCT(($CZ$3:$CZ$42=$BI7)*($DC$3:$DC$42=$BI6)*$DA$3:$DA$42)+SUMPRODUCT(($CZ$3:$CZ$42=$BI8)*($DC$3:$DC$42=$BI7)*$DB$3:$DB$42)+SUMPRODUCT(($CZ$3:$CZ$42=$BI4)*($DC$3:$DC$42=$BI7)*$DB$3:$DB$42)+SUMPRODUCT(($CZ$3:$CZ$42=$BI5)*($DC$3:$DC$42=$BI7)*$DB$3:$DB$42)+SUMPRODUCT(($CZ$3:$CZ$42=$BI6)*($DC$3:$DC$42=$BI7)*$DB$3:$DB$42)</f>
        <v>0</v>
      </c>
      <c r="BN7" s="169">
        <f>SUMPRODUCT(($CZ$3:$CZ$42=$BI7)*($DC$3:$DC$42=$BI8)*$DB$3:$DB$42)+SUMPRODUCT(($CZ$3:$CZ$42=$BI7)*($DC$3:$DC$42=$BI4)*$DB$3:$DB$42)+SUMPRODUCT(($CZ$3:$CZ$42=$BI7)*($DC$3:$DC$42=$BI5)*$DB$3:$DB$42)+SUMPRODUCT(($CZ$3:$CZ$42=$BI7)*($DC$3:$DC$42=$BI6)*$DB$3:$DB$42)+SUMPRODUCT(($CZ$3:$CZ$42=$BI8)*($DC$3:$DC$42=$BI7)*$DA$3:$DA$42)+SUMPRODUCT(($CZ$3:$CZ$42=$BI4)*($DC$3:$DC$42=$BI7)*$DA$3:$DA$42)+SUMPRODUCT(($CZ$3:$CZ$42=$BI5)*($DC$3:$DC$42=$BI7)*$DA$3:$DA$42)+SUMPRODUCT(($CZ$3:$CZ$42=$BI6)*($DC$3:$DC$42=$BI7)*$DA$3:$DA$42)</f>
        <v>0</v>
      </c>
      <c r="BO7" s="169">
        <f>BM7-BN7+1000</f>
        <v>1000</v>
      </c>
      <c r="BP7" s="169" t="str">
        <f>IF(BI7&lt;&gt;"",BJ7*3+BK7*1,"")</f>
        <v/>
      </c>
      <c r="BQ7" s="169" t="str">
        <f>IF(BI7&lt;&gt;"",VLOOKUP(BI7,$B$4:$H$40,7,FALSE),"")</f>
        <v/>
      </c>
      <c r="BR7" s="169" t="str">
        <f>IF(BI7&lt;&gt;"",VLOOKUP(BI7,$B$4:$H$40,5,FALSE),"")</f>
        <v/>
      </c>
      <c r="BS7" s="169" t="str">
        <f>IF(BI7&lt;&gt;"",VLOOKUP(BI7,$B$4:$J$40,9,FALSE),"")</f>
        <v/>
      </c>
      <c r="BT7" s="169" t="str">
        <f>BP7</f>
        <v/>
      </c>
      <c r="BU7" s="169" t="str">
        <f>IF(BI7&lt;&gt;"",RANK(BT7,BT$4:BT$8),"")</f>
        <v/>
      </c>
      <c r="BV7" s="169" t="str">
        <f>IF(BI7&lt;&gt;"",SUMPRODUCT((BT$4:BT$8=BT7)*(BO$4:BO$8&gt;BO7)),"")</f>
        <v/>
      </c>
      <c r="BW7" s="169" t="str">
        <f>IF(BI7&lt;&gt;"",SUMPRODUCT((BT$4:BT$8=BT7)*(BO$4:BO$8=BO7)*(BM$4:BM$8&gt;BM7)),"")</f>
        <v/>
      </c>
      <c r="BX7" s="169" t="str">
        <f>IF(BI7&lt;&gt;"",SUMPRODUCT((BT$4:BT$8=BT7)*(BO$4:BO$8=BO7)*(BM$4:BM$8=BM7)*(BQ$4:BQ$8&gt;BQ7)),"")</f>
        <v/>
      </c>
      <c r="BY7" s="169" t="str">
        <f>IF(BI7&lt;&gt;"",SUMPRODUCT((BT$4:BT$8=BT7)*(BO$4:BO$8=BO7)*(BM$4:BM$8=BM7)*(BQ$4:BQ$8=BQ7)*(BR$4:BR$8&gt;BR7)),"")</f>
        <v/>
      </c>
      <c r="BZ7" s="169" t="str">
        <f>IF(BI7&lt;&gt;"",SUMPRODUCT((BT$4:BT$8=BT7)*(BO$4:BO$8=BO7)*(BM$4:BM$8=BM7)*(BQ$4:BQ$8=BQ7)*(BR$4:BR$8=BR7)*(BS$4:BS$8&gt;BS7)),"")</f>
        <v/>
      </c>
      <c r="CA7" s="169" t="str">
        <f>IF(BI7&lt;&gt;"",SUM(BU7:BZ7)+2,"")</f>
        <v/>
      </c>
      <c r="CB7" s="169" t="str">
        <f>IF(BI7&lt;&gt;"",INDEX(BI6:BI8,MATCH(4,CA6:CA8,0),0),"")</f>
        <v/>
      </c>
      <c r="CC7" s="169" t="str">
        <f>IF(S4&lt;&gt;"",S4,"")</f>
        <v/>
      </c>
      <c r="CD7" s="169">
        <f>SUMPRODUCT(($CZ$3:$CZ$42=$CC7)*($DC$3:$DC$42=$CC8)*($DD$3:$DD$42="W"))+SUMPRODUCT(($CZ$3:$CZ$42=$CC7)*($DC$3:$DC$42=$CC9)*($DD$3:$DD$42="W"))+SUMPRODUCT(($CZ$3:$CZ$42=$CC7)*($DC$3:$DC$42=$CC10)*($DD$3:$DD$42="W"))+SUMPRODUCT(($CZ$3:$CZ$42=$CC8)*($DC$3:$DC$42=$CC7)*($DE$3:$DE$42="W"))+SUMPRODUCT(($CZ$3:$CZ$42=$CC9)*($DC$3:$DC$42=$CC7)*($DE$3:$DE$42="W"))+SUMPRODUCT(($CZ$3:$CZ$42=$CC10)*($DC$3:$DC$42=$CC7)*($DE$3:$DE$42="W"))</f>
        <v>0</v>
      </c>
      <c r="CE7" s="169">
        <f>SUMPRODUCT(($CZ$3:$CZ$42=$CC7)*($DC$3:$DC$42=$CC8)*($DD$3:$DD$42="D"))+SUMPRODUCT(($CZ$3:$CZ$42=$CC7)*($DC$3:$DC$42=$CC9)*($DD$3:$DD$42="D"))+SUMPRODUCT(($CZ$3:$CZ$42=$CC7)*($DC$3:$DC$42=$CC10)*($DD$3:$DD$42="D"))+SUMPRODUCT(($CZ$3:$CZ$42=$CC8)*($DC$3:$DC$42=$CC7)*($DD$3:$DD$42="D"))+SUMPRODUCT(($CZ$3:$CZ$42=$CC9)*($DC$3:$DC$42=$CC7)*($DD$3:$DD$42="D"))+SUMPRODUCT(($CZ$3:$CZ$42=$CC10)*($DC$3:$DC$42=$CC7)*($DD$3:$DD$42="D"))</f>
        <v>0</v>
      </c>
      <c r="CF7" s="169">
        <f>SUMPRODUCT(($CZ$3:$CZ$42=$CC7)*($DC$3:$DC$42=$CC8)*($DD$3:$DD$42="L"))+SUMPRODUCT(($CZ$3:$CZ$42=$CC7)*($DC$3:$DC$42=$CC9)*($DD$3:$DD$42="L"))+SUMPRODUCT(($CZ$3:$CZ$42=$CC7)*($DC$3:$DC$42=$CC10)*($DD$3:$DD$42="L"))+SUMPRODUCT(($CZ$3:$CZ$42=$CC8)*($DC$3:$DC$42=$CC7)*($DE$3:$DE$42="L"))+SUMPRODUCT(($CZ$3:$CZ$42=$CC9)*($DC$3:$DC$42=$CC7)*($DE$3:$DE$42="L"))+SUMPRODUCT(($CZ$3:$CZ$42=$CC10)*($DC$3:$DC$42=$CC7)*($DE$3:$DE$42="L"))</f>
        <v>0</v>
      </c>
      <c r="CG7" s="169">
        <f>SUMPRODUCT(($CZ$3:$CZ$42=$CC7)*($DC$3:$DC$42=$CC8)*$DA$3:$DA$42)+SUMPRODUCT(($CZ$3:$CZ$42=$CC7)*($DC$3:$DC$42=$CC4)*$DA$3:$DA$42)+SUMPRODUCT(($CZ$3:$CZ$42=$CC7)*($DC$3:$DC$42=$CC5)*$DA$3:$DA$42)+SUMPRODUCT(($CZ$3:$CZ$42=$CC7)*($DC$3:$DC$42=$CC6)*$DA$3:$DA$42)+SUMPRODUCT(($CZ$3:$CZ$42=$CC8)*($DC$3:$DC$42=$CC7)*$DB$3:$DB$42)+SUMPRODUCT(($CZ$3:$CZ$42=$CC4)*($DC$3:$DC$42=$CC7)*$DB$3:$DB$42)+SUMPRODUCT(($CZ$3:$CZ$42=$CC5)*($DC$3:$DC$42=$CC7)*$DB$3:$DB$42)+SUMPRODUCT(($CZ$3:$CZ$42=$CC6)*($DC$3:$DC$42=$CC7)*$DB$3:$DB$42)</f>
        <v>0</v>
      </c>
      <c r="CH7" s="169">
        <f>SUMPRODUCT(($CZ$3:$CZ$42=$CC7)*($DC$3:$DC$42=$CC8)*$DB$3:$DB$42)+SUMPRODUCT(($CZ$3:$CZ$42=$CC7)*($DC$3:$DC$42=$CC4)*$DB$3:$DB$42)+SUMPRODUCT(($CZ$3:$CZ$42=$CC7)*($DC$3:$DC$42=$CC5)*$DB$3:$DB$42)+SUMPRODUCT(($CZ$3:$CZ$42=$CC7)*($DC$3:$DC$42=$CC6)*$DB$3:$DB$42)+SUMPRODUCT(($CZ$3:$CZ$42=$CC8)*($DC$3:$DC$42=$CC7)*$DA$3:$DA$42)+SUMPRODUCT(($CZ$3:$CZ$42=$CC4)*($DC$3:$DC$42=$CC7)*$DA$3:$DA$42)+SUMPRODUCT(($CZ$3:$CZ$42=$CC5)*($DC$3:$DC$42=$CC7)*$DA$3:$DA$42)+SUMPRODUCT(($CZ$3:$CZ$42=$CC6)*($DC$3:$DC$42=$CC7)*$DA$3:$DA$42)</f>
        <v>0</v>
      </c>
      <c r="CI7" s="169">
        <f>CG7-CH7+1000</f>
        <v>1000</v>
      </c>
      <c r="CJ7" s="169" t="str">
        <f>IF(CC7&lt;&gt;"",CD7*3+CE7*1,"")</f>
        <v/>
      </c>
      <c r="CK7" s="169" t="str">
        <f>IF(CC7&lt;&gt;"",VLOOKUP(CC7,$B$4:$H$40,7,FALSE),"")</f>
        <v/>
      </c>
      <c r="CL7" s="169" t="str">
        <f>IF(CC7&lt;&gt;"",VLOOKUP(CC7,$B$4:$H$40,5,FALSE),"")</f>
        <v/>
      </c>
      <c r="CM7" s="169" t="str">
        <f>IF(CC7&lt;&gt;"",VLOOKUP(CC7,$B$4:$J$40,9,FALSE),"")</f>
        <v/>
      </c>
      <c r="CN7" s="169" t="str">
        <f>CJ7</f>
        <v/>
      </c>
      <c r="CO7" s="169" t="str">
        <f>IF(CC7&lt;&gt;"",RANK(CN7,CN$4:CN$8),"")</f>
        <v/>
      </c>
      <c r="CP7" s="169" t="str">
        <f>IF(CC7&lt;&gt;"",SUMPRODUCT((CN$4:CN$8=CN7)*(CI$4:CI$8&gt;CI7)),"")</f>
        <v/>
      </c>
      <c r="CQ7" s="169" t="str">
        <f>IF(CC7&lt;&gt;"",SUMPRODUCT((CN$4:CN$8=CN7)*(CI$4:CI$8=CI7)*(CG$4:CG$8&gt;CG7)),"")</f>
        <v/>
      </c>
      <c r="CR7" s="169" t="str">
        <f>IF(CC7&lt;&gt;"",SUMPRODUCT((CN$4:CN$8=CN7)*(CI$4:CI$8=CI7)*(CG$4:CG$8=CG7)*(CK$4:CK$8&gt;CK7)),"")</f>
        <v/>
      </c>
      <c r="CS7" s="169" t="str">
        <f>IF(CC7&lt;&gt;"",SUMPRODUCT((CN$4:CN$8=CN7)*(CI$4:CI$8=CI7)*(CG$4:CG$8=CG7)*(CK$4:CK$8=CK7)*(CL$4:CL$8&gt;CL7)),"")</f>
        <v/>
      </c>
      <c r="CT7" s="169" t="str">
        <f>IF(CC7&lt;&gt;"",SUMPRODUCT((CN$4:CN$8=CN7)*(CI$4:CI$8=CI7)*(CG$4:CG$8=CG7)*(CK$4:CK$8=CK7)*(CL$4:CL$8=CL7)*(CM$4:CM$8&gt;CM7)),"")</f>
        <v/>
      </c>
      <c r="CU7" s="169" t="str">
        <f>IF(CC7&lt;&gt;"",SUM(CO7:CT7)+3,"")</f>
        <v/>
      </c>
      <c r="CV7" s="169" t="str">
        <f>IF(CC7&lt;&gt;"",IF(CU7=4,CC7,CC8),"")</f>
        <v/>
      </c>
      <c r="CW7" s="169" t="str">
        <f>IF(CV7&lt;&gt;"",CV7,IF(CB7&lt;&gt;"",CB7,IF(BH7&lt;&gt;"",BH7,IF(AN7&lt;&gt;"",AN7,N7))))</f>
        <v>Rumänien</v>
      </c>
      <c r="CX7" s="169">
        <v>4</v>
      </c>
      <c r="CY7" s="169">
        <v>5</v>
      </c>
      <c r="CZ7" s="169" t="str">
        <f>Tournament!H17</f>
        <v>Truthahn</v>
      </c>
      <c r="DA7" s="169">
        <f>IF(AND(Tournament!J17&lt;&gt;"",Tournament!L17&lt;&gt;""),Tournament!J17,0)</f>
        <v>0</v>
      </c>
      <c r="DB7" s="169">
        <f>IF(AND(Tournament!L17&lt;&gt;"",Tournament!J17&lt;&gt;""),Tournament!L17,0)</f>
        <v>1</v>
      </c>
      <c r="DC7" s="169" t="str">
        <f>Tournament!N17</f>
        <v>Kroatien</v>
      </c>
      <c r="DD7" s="169" t="str">
        <f>IF(AND(Tournament!J17&lt;&gt;"",Tournament!L17&lt;&gt;""),IF(DA7&gt;DB7,"W",IF(DA7=DB7,"D","L")),"")</f>
        <v>L</v>
      </c>
      <c r="DE7" s="169" t="str">
        <f t="shared" si="6"/>
        <v>W</v>
      </c>
      <c r="DH7" s="169" t="str">
        <f>Tournament!AD34</f>
        <v>Irische Republik</v>
      </c>
      <c r="DI7" s="171">
        <f>Tournament!AI34</f>
        <v>1</v>
      </c>
      <c r="DJ7" s="171">
        <f>Tournament!AJ34</f>
        <v>1</v>
      </c>
      <c r="DK7" s="171">
        <f>Tournament!AK34</f>
        <v>1</v>
      </c>
      <c r="DL7" s="171">
        <f>Tournament!AL34</f>
        <v>2</v>
      </c>
      <c r="DM7" s="171">
        <f>Tournament!AN34</f>
        <v>4</v>
      </c>
      <c r="DN7" s="171">
        <f>Tournament!AO34</f>
        <v>-2</v>
      </c>
      <c r="DO7" s="171">
        <f>Tournament!AP34</f>
        <v>4</v>
      </c>
      <c r="DP7" s="169">
        <f t="shared" si="0"/>
        <v>102</v>
      </c>
      <c r="DQ7" s="169">
        <f t="shared" si="1"/>
        <v>1</v>
      </c>
      <c r="DR7" s="169">
        <f t="shared" si="2"/>
        <v>1</v>
      </c>
      <c r="DS7" s="169">
        <f t="shared" si="3"/>
        <v>0</v>
      </c>
      <c r="DT7" s="169">
        <f t="shared" si="4"/>
        <v>0</v>
      </c>
      <c r="DU7" s="169">
        <f t="shared" si="5"/>
        <v>2</v>
      </c>
      <c r="DV7" s="169" t="s">
        <v>211</v>
      </c>
      <c r="DW7" s="169">
        <v>5</v>
      </c>
    </row>
    <row r="8" spans="1:128" x14ac:dyDescent="0.2">
      <c r="CY8" s="169">
        <v>6</v>
      </c>
      <c r="CZ8" s="169" t="str">
        <f>Tournament!H18</f>
        <v>Polen</v>
      </c>
      <c r="DA8" s="169">
        <f>IF(AND(Tournament!J18&lt;&gt;"",Tournament!L18&lt;&gt;""),Tournament!J18,0)</f>
        <v>1</v>
      </c>
      <c r="DB8" s="169">
        <f>IF(AND(Tournament!L18&lt;&gt;"",Tournament!J18&lt;&gt;""),Tournament!L18,0)</f>
        <v>0</v>
      </c>
      <c r="DC8" s="169" t="str">
        <f>Tournament!N18</f>
        <v>Nordirland</v>
      </c>
      <c r="DD8" s="169" t="str">
        <f>IF(AND(Tournament!J18&lt;&gt;"",Tournament!L18&lt;&gt;""),IF(DA8&gt;DB8,"W",IF(DA8=DB8,"D","L")),"")</f>
        <v>W</v>
      </c>
      <c r="DE8" s="169" t="str">
        <f t="shared" si="6"/>
        <v>L</v>
      </c>
      <c r="DH8" s="169" t="str">
        <f>Tournament!AD39</f>
        <v>Portugal</v>
      </c>
      <c r="DI8" s="171">
        <f>Tournament!AI39</f>
        <v>0</v>
      </c>
      <c r="DJ8" s="171">
        <f>Tournament!AJ39</f>
        <v>3</v>
      </c>
      <c r="DK8" s="171">
        <f>Tournament!AK39</f>
        <v>0</v>
      </c>
      <c r="DL8" s="171">
        <f>Tournament!AL39</f>
        <v>4</v>
      </c>
      <c r="DM8" s="171">
        <f>Tournament!AN39</f>
        <v>4</v>
      </c>
      <c r="DN8" s="171">
        <f>Tournament!AO39</f>
        <v>0</v>
      </c>
      <c r="DO8" s="171">
        <f>Tournament!AP39</f>
        <v>3</v>
      </c>
      <c r="DP8" s="169">
        <f t="shared" si="0"/>
        <v>110</v>
      </c>
      <c r="DQ8" s="169">
        <f t="shared" si="1"/>
        <v>3</v>
      </c>
      <c r="DR8" s="169">
        <f t="shared" si="2"/>
        <v>0</v>
      </c>
      <c r="DS8" s="169">
        <f t="shared" si="3"/>
        <v>0</v>
      </c>
      <c r="DT8" s="169">
        <f t="shared" si="4"/>
        <v>0</v>
      </c>
      <c r="DU8" s="169">
        <f t="shared" si="5"/>
        <v>3</v>
      </c>
      <c r="DV8" s="169" t="s">
        <v>219</v>
      </c>
      <c r="DW8" s="169">
        <v>6</v>
      </c>
    </row>
    <row r="9" spans="1:128" x14ac:dyDescent="0.2">
      <c r="BG9" s="169" t="s">
        <v>4131</v>
      </c>
      <c r="CY9" s="169">
        <v>7</v>
      </c>
      <c r="CZ9" s="169" t="str">
        <f>Tournament!H19</f>
        <v>Deutschland</v>
      </c>
      <c r="DA9" s="169">
        <f>IF(AND(Tournament!J19&lt;&gt;"",Tournament!L19&lt;&gt;""),Tournament!J19,0)</f>
        <v>2</v>
      </c>
      <c r="DB9" s="169">
        <f>IF(AND(Tournament!L19&lt;&gt;"",Tournament!J19&lt;&gt;""),Tournament!L19,0)</f>
        <v>0</v>
      </c>
      <c r="DC9" s="169" t="str">
        <f>Tournament!N19</f>
        <v>Ukraine</v>
      </c>
      <c r="DD9" s="169" t="str">
        <f>IF(AND(Tournament!J19&lt;&gt;"",Tournament!L19&lt;&gt;""),IF(DA9&gt;DB9,"W",IF(DA9=DB9,"D","L")),"")</f>
        <v>W</v>
      </c>
      <c r="DE9" s="169" t="str">
        <f t="shared" si="6"/>
        <v>L</v>
      </c>
    </row>
    <row r="10" spans="1:128" x14ac:dyDescent="0.2">
      <c r="CY10" s="169">
        <v>8</v>
      </c>
      <c r="CZ10" s="169" t="str">
        <f>Tournament!H20</f>
        <v>Spanien</v>
      </c>
      <c r="DA10" s="169">
        <f>IF(AND(Tournament!J20&lt;&gt;"",Tournament!L20&lt;&gt;""),Tournament!J20,0)</f>
        <v>1</v>
      </c>
      <c r="DB10" s="169">
        <f>IF(AND(Tournament!L20&lt;&gt;"",Tournament!J20&lt;&gt;""),Tournament!L20,0)</f>
        <v>0</v>
      </c>
      <c r="DC10" s="169" t="str">
        <f>Tournament!N20</f>
        <v>Tschechien</v>
      </c>
      <c r="DD10" s="169" t="str">
        <f>IF(AND(Tournament!J20&lt;&gt;"",Tournament!L20&lt;&gt;""),IF(DA10&gt;DB10,"W",IF(DA10=DB10,"D","L")),"")</f>
        <v>W</v>
      </c>
      <c r="DE10" s="169" t="str">
        <f t="shared" si="6"/>
        <v>L</v>
      </c>
    </row>
    <row r="11" spans="1:128" x14ac:dyDescent="0.2">
      <c r="A11" s="169">
        <f>VLOOKUP(B11,$CW$11:$CX$15,2,FALSE)</f>
        <v>2</v>
      </c>
      <c r="B11" s="169" t="str">
        <f>'Countries and Timezone'!C11</f>
        <v>England</v>
      </c>
      <c r="C11" s="169">
        <f>SUMPRODUCT(($CZ$3:$CZ$42=$B11)*($DD$3:$DD$42="W"))+SUMPRODUCT(($DC$3:$DC$42=$B11)*($DE$3:$DE$42="W"))</f>
        <v>1</v>
      </c>
      <c r="D11" s="169">
        <f>SUMPRODUCT(($CZ$3:$CZ$42=$B11)*($DD$3:$DD$42="D"))+SUMPRODUCT(($DC$3:$DC$42=$B11)*($DE$3:$DE$42="D"))</f>
        <v>2</v>
      </c>
      <c r="E11" s="169">
        <f>SUMPRODUCT(($CZ$3:$CZ$42=$B11)*($DD$3:$DD$42="L"))+SUMPRODUCT(($DC$3:$DC$42=$B11)*($DE$3:$DE$42="L"))</f>
        <v>0</v>
      </c>
      <c r="F11" s="169">
        <f>SUMIF($CZ$3:$CZ$60,B11,$DA$3:$DA$60)+SUMIF($DC$3:$DC$60,B11,$DB$3:$DB$60)</f>
        <v>3</v>
      </c>
      <c r="G11" s="169">
        <f>SUMIF($DC$3:$DC$60,B11,$DA$3:$DA$60)+SUMIF($CZ$3:$CZ$60,B11,$DB$3:$DB$60)</f>
        <v>2</v>
      </c>
      <c r="H11" s="169">
        <f>F11-G11+1000</f>
        <v>1001</v>
      </c>
      <c r="I11" s="169">
        <f>C11*3+D11*1</f>
        <v>5</v>
      </c>
      <c r="J11" s="169">
        <v>2</v>
      </c>
      <c r="K11" s="169">
        <f>RANK(I11,I$11:I$15)</f>
        <v>2</v>
      </c>
      <c r="M11" s="169">
        <f>RANK(I11,$I$11:$I$15)+COUNTIF($I$11:I11,I11)-1</f>
        <v>2</v>
      </c>
      <c r="N11" s="169" t="str">
        <f>INDEX($B$11:$B$15,MATCH(1,$M$11:$M$15,0),0)</f>
        <v>Wales</v>
      </c>
      <c r="O11" s="169">
        <f>INDEX($K$11:$K$15,MATCH(N11,$B$11:$B$15,0),0)</f>
        <v>1</v>
      </c>
      <c r="P11" s="169" t="str">
        <f>IF(O12=1,N11,"")</f>
        <v/>
      </c>
      <c r="Q11" s="169" t="str">
        <f>IF(O13=2,N12,"")</f>
        <v/>
      </c>
      <c r="R11" s="169" t="str">
        <f>IF(O14=3,N13,"")</f>
        <v/>
      </c>
      <c r="S11" s="169" t="str">
        <f>IF(O15=4,N14,"")</f>
        <v/>
      </c>
      <c r="U11" s="169" t="str">
        <f>IF(P11&lt;&gt;"",P11,"")</f>
        <v/>
      </c>
      <c r="V11" s="169">
        <f>SUMPRODUCT(($CZ$3:$CZ$42=$U11)*($DC$3:$DC$42=$U12)*($DD$3:$DD$42="W"))+SUMPRODUCT(($CZ$3:$CZ$42=$U11)*($DC$3:$DC$42=$U13)*($DD$3:$DD$42="W"))+SUMPRODUCT(($CZ$3:$CZ$42=$U11)*($DC$3:$DC$42=$U14)*($DD$3:$DD$42="W"))+SUMPRODUCT(($CZ$3:$CZ$42=$U11)*($DC$3:$DC$42=$U15)*($DD$3:$DD$42="W"))+SUMPRODUCT(($CZ$3:$CZ$42=$U12)*($DC$3:$DC$42=$U11)*($DE$3:$DE$42="W"))+SUMPRODUCT(($CZ$3:$CZ$42=$U13)*($DC$3:$DC$42=$U11)*($DE$3:$DE$42="W"))+SUMPRODUCT(($CZ$3:$CZ$42=$U14)*($DC$3:$DC$42=$U11)*($DE$3:$DE$42="W"))+SUMPRODUCT(($CZ$3:$CZ$42=$U15)*($DC$3:$DC$42=$U11)*($DE$3:$DE$42="W"))</f>
        <v>0</v>
      </c>
      <c r="W11" s="169">
        <f>SUMPRODUCT(($CZ$3:$CZ$42=$U11)*($DC$3:$DC$42=$U12)*($DD$3:$DD$42="D"))+SUMPRODUCT(($CZ$3:$CZ$42=$U11)*($DC$3:$DC$42=$U13)*($DD$3:$DD$42="D"))+SUMPRODUCT(($CZ$3:$CZ$42=$U11)*($DC$3:$DC$42=$U14)*($DD$3:$DD$42="D"))+SUMPRODUCT(($CZ$3:$CZ$42=$U11)*($DC$3:$DC$42=$U15)*($DD$3:$DD$42="D"))+SUMPRODUCT(($CZ$3:$CZ$42=$U12)*($DC$3:$DC$42=$U11)*($DD$3:$DD$42="D"))+SUMPRODUCT(($CZ$3:$CZ$42=$U13)*($DC$3:$DC$42=$U11)*($DD$3:$DD$42="D"))+SUMPRODUCT(($CZ$3:$CZ$42=$U14)*($DC$3:$DC$42=$U11)*($DD$3:$DD$42="D"))+SUMPRODUCT(($CZ$3:$CZ$42=$U15)*($DC$3:$DC$42=$U11)*($DD$3:$DD$42="D"))</f>
        <v>0</v>
      </c>
      <c r="X11" s="169">
        <f>SUMPRODUCT(($CZ$3:$CZ$42=$U11)*($DC$3:$DC$42=$U12)*($DD$3:$DD$42="L"))+SUMPRODUCT(($CZ$3:$CZ$42=$U11)*($DC$3:$DC$42=$U13)*($DD$3:$DD$42="L"))+SUMPRODUCT(($CZ$3:$CZ$42=$U11)*($DC$3:$DC$42=$U14)*($DD$3:$DD$42="L"))+SUMPRODUCT(($CZ$3:$CZ$42=$U11)*($DC$3:$DC$42=$U15)*($DD$3:$DD$42="L"))+SUMPRODUCT(($CZ$3:$CZ$42=$U12)*($DC$3:$DC$42=$U11)*($DE$3:$DE$42="L"))+SUMPRODUCT(($CZ$3:$CZ$42=$U13)*($DC$3:$DC$42=$U11)*($DE$3:$DE$42="L"))+SUMPRODUCT(($CZ$3:$CZ$42=$U14)*($DC$3:$DC$42=$U11)*($DE$3:$DE$42="L"))+SUMPRODUCT(($CZ$3:$CZ$42=$U15)*($DC$3:$DC$42=$U11)*($DE$3:$DE$42="L"))</f>
        <v>0</v>
      </c>
      <c r="Y11" s="169">
        <f>SUMPRODUCT(($CZ$3:$CZ$42=$U11)*($DC$3:$DC$42=$U12)*$DA$3:$DA$42)+SUMPRODUCT(($CZ$3:$CZ$42=$U11)*($DC$3:$DC$42=$U13)*$DA$3:$DA$42)+SUMPRODUCT(($CZ$3:$CZ$42=$U11)*($DC$3:$DC$42=$U14)*$DA$3:$DA$42)+SUMPRODUCT(($CZ$3:$CZ$42=$U11)*($DC$3:$DC$42=$U15)*$DA$3:$DA$42)+SUMPRODUCT(($CZ$3:$CZ$42=$U12)*($DC$3:$DC$42=$U11)*$DB$3:$DB$42)+SUMPRODUCT(($CZ$3:$CZ$42=$U13)*($DC$3:$DC$42=$U11)*$DB$3:$DB$42)+SUMPRODUCT(($CZ$3:$CZ$42=$U14)*($DC$3:$DC$42=$U11)*$DB$3:$DB$42)+SUMPRODUCT(($CZ$3:$CZ$42=$U15)*($DC$3:$DC$42=$U11)*$DB$3:$DB$42)</f>
        <v>0</v>
      </c>
      <c r="Z11" s="169">
        <f>SUMPRODUCT(($CZ$3:$CZ$42=$U11)*($DC$3:$DC$42=$U12)*$DB$3:$DB$42)+SUMPRODUCT(($CZ$3:$CZ$42=$U11)*($DC$3:$DC$42=$U13)*$DB$3:$DB$42)+SUMPRODUCT(($CZ$3:$CZ$42=$U11)*($DC$3:$DC$42=$U14)*$DB$3:$DB$42)+SUMPRODUCT(($CZ$3:$CZ$42=$U11)*($DC$3:$DC$42=$U15)*$DB$3:$DB$42)+SUMPRODUCT(($CZ$3:$CZ$42=$U12)*($DC$3:$DC$42=$U11)*$DA$3:$DA$42)+SUMPRODUCT(($CZ$3:$CZ$42=$U13)*($DC$3:$DC$42=$U11)*$DA$3:$DA$42)+SUMPRODUCT(($CZ$3:$CZ$42=$U14)*($DC$3:$DC$42=$U11)*$DA$3:$DA$42)+SUMPRODUCT(($CZ$3:$CZ$42=$U15)*($DC$3:$DC$42=$U11)*$DA$3:$DA$42)</f>
        <v>0</v>
      </c>
      <c r="AA11" s="169">
        <f>Y11-Z11+1000</f>
        <v>1000</v>
      </c>
      <c r="AB11" s="169" t="str">
        <f>IF(U11&lt;&gt;"",V11*3+W11*1,"")</f>
        <v/>
      </c>
      <c r="AC11" s="169" t="str">
        <f>IF(U11&lt;&gt;"",VLOOKUP(U11,$B$4:$H$40,7,FALSE),"")</f>
        <v/>
      </c>
      <c r="AD11" s="169" t="str">
        <f>IF(U11&lt;&gt;"",VLOOKUP(U11,$B$4:$H$40,5,FALSE),"")</f>
        <v/>
      </c>
      <c r="AE11" s="169" t="str">
        <f>IF(U11&lt;&gt;"",VLOOKUP(U11,$B$4:$J$40,9,FALSE),"")</f>
        <v/>
      </c>
      <c r="AF11" s="169" t="str">
        <f>AB11</f>
        <v/>
      </c>
      <c r="AG11" s="169" t="str">
        <f>IF(U11&lt;&gt;"",RANK(AF11,AF$11:AF$15),"")</f>
        <v/>
      </c>
      <c r="AH11" s="169" t="str">
        <f>IF(U11&lt;&gt;"",SUMPRODUCT((AF$11:AF$15=AF11)*(AA$11:AA$15&gt;AA11)),"")</f>
        <v/>
      </c>
      <c r="AI11" s="169" t="str">
        <f>IF(U11&lt;&gt;"",SUMPRODUCT((AF$11:AF$15=AF11)*(AA$11:AA$15=AA11)*(Y$11:Y$15&gt;Y11)),"")</f>
        <v/>
      </c>
      <c r="AJ11" s="169" t="str">
        <f>IF(U11&lt;&gt;"",SUMPRODUCT((AF$11:AF$15=AF11)*(AA$11:AA$15=AA11)*(Y$11:Y$15=Y11)*(AC$11:AC$15&gt;AC11)),"")</f>
        <v/>
      </c>
      <c r="AK11" s="169" t="str">
        <f>IF(U11&lt;&gt;"",SUMPRODUCT((AF$11:AF$15=AF11)*(AA$11:AA$15=AA11)*(Y$11:Y$15=Y11)*(AC$11:AC$15=AC11)*(AD$11:AD$15&gt;AD11)),"")</f>
        <v/>
      </c>
      <c r="AL11" s="169" t="str">
        <f>IF(U11&lt;&gt;"",SUMPRODUCT((AF$11:AF$15=AF11)*(AA$11:AA$15=AA11)*(Y$11:Y$15=Y11)*(AC$11:AC$15=AC11)*(AD$11:AD$15=AD11)*(AE$11:AE$15&gt;AE11)),"")</f>
        <v/>
      </c>
      <c r="AM11" s="169" t="str">
        <f>IF(U11&lt;&gt;"",SUM(AG11:AL11),"")</f>
        <v/>
      </c>
      <c r="AN11" s="169" t="str">
        <f>IF(U11&lt;&gt;"",INDEX($U$11:$U$15,MATCH(1,$AM$11:$AM$15,0),0),"")</f>
        <v/>
      </c>
      <c r="CW11" s="169" t="str">
        <f>IF(AN11&lt;&gt;"",AN11,N11)</f>
        <v>Wales</v>
      </c>
      <c r="CX11" s="169">
        <v>1</v>
      </c>
      <c r="CY11" s="169">
        <v>9</v>
      </c>
      <c r="CZ11" s="169" t="str">
        <f>Tournament!H21</f>
        <v>Irische Republik</v>
      </c>
      <c r="DA11" s="169">
        <f>IF(AND(Tournament!J21&lt;&gt;"",Tournament!L21&lt;&gt;""),Tournament!J21,0)</f>
        <v>1</v>
      </c>
      <c r="DB11" s="169">
        <f>IF(AND(Tournament!L21&lt;&gt;"",Tournament!J21&lt;&gt;""),Tournament!L21,0)</f>
        <v>1</v>
      </c>
      <c r="DC11" s="169" t="str">
        <f>Tournament!N21</f>
        <v>Schweden</v>
      </c>
      <c r="DD11" s="169" t="str">
        <f>IF(AND(Tournament!J21&lt;&gt;"",Tournament!L21&lt;&gt;""),IF(DA11&gt;DB11,"W",IF(DA11=DB11,"D","L")),"")</f>
        <v>D</v>
      </c>
      <c r="DE11" s="169" t="str">
        <f t="shared" si="6"/>
        <v>D</v>
      </c>
    </row>
    <row r="12" spans="1:128" x14ac:dyDescent="0.2">
      <c r="A12" s="169">
        <f>VLOOKUP(B12,$CW$11:$CX$15,2,FALSE)</f>
        <v>4</v>
      </c>
      <c r="B12" s="169" t="str">
        <f>'Countries and Timezone'!C12</f>
        <v>Russland</v>
      </c>
      <c r="C12" s="169">
        <f>SUMPRODUCT(($CZ$3:$CZ$42=$B12)*($DD$3:$DD$42="W"))+SUMPRODUCT(($DC$3:$DC$42=$B12)*($DE$3:$DE$42="W"))</f>
        <v>0</v>
      </c>
      <c r="D12" s="169">
        <f>SUMPRODUCT(($CZ$3:$CZ$42=$B12)*($DD$3:$DD$42="D"))+SUMPRODUCT(($DC$3:$DC$42=$B12)*($DE$3:$DE$42="D"))</f>
        <v>1</v>
      </c>
      <c r="E12" s="169">
        <f>SUMPRODUCT(($CZ$3:$CZ$42=$B12)*($DD$3:$DD$42="L"))+SUMPRODUCT(($DC$3:$DC$42=$B12)*($DE$3:$DE$42="L"))</f>
        <v>2</v>
      </c>
      <c r="F12" s="169">
        <f>SUMIF($CZ$3:$CZ$60,B12,$DA$3:$DA$60)+SUMIF($DC$3:$DC$60,B12,$DB$3:$DB$60)</f>
        <v>2</v>
      </c>
      <c r="G12" s="169">
        <f>SUMIF($DC$3:$DC$60,B12,$DA$3:$DA$60)+SUMIF($CZ$3:$CZ$60,B12,$DB$3:$DB$60)</f>
        <v>6</v>
      </c>
      <c r="H12" s="169">
        <f>F12-G12+1000</f>
        <v>996</v>
      </c>
      <c r="I12" s="169">
        <f>C12*3+D12*1</f>
        <v>1</v>
      </c>
      <c r="J12" s="169">
        <v>9</v>
      </c>
      <c r="K12" s="169">
        <f>RANK(I12,I$11:I$15)</f>
        <v>4</v>
      </c>
      <c r="M12" s="169">
        <f>RANK(I12,$I$11:$I$15)+COUNTIF($I$11:I12,I12)-1</f>
        <v>4</v>
      </c>
      <c r="N12" s="169" t="str">
        <f>IF(Tournament!O3="M",INDEX($B$11:$B$15,MATCH(2,$M$11:$M$15,0),0),0)</f>
        <v>England</v>
      </c>
      <c r="O12" s="169">
        <f>INDEX($K$11:$K$15,MATCH(N12,$B$11:$B$15,0),0)</f>
        <v>2</v>
      </c>
      <c r="P12" s="169" t="str">
        <f>IF(P11&lt;&gt;"",N12,"")</f>
        <v/>
      </c>
      <c r="Q12" s="169" t="str">
        <f>IF(Q11&lt;&gt;"",N13,"")</f>
        <v/>
      </c>
      <c r="R12" s="169" t="str">
        <f>IF(R11&lt;&gt;"",N14,"")</f>
        <v/>
      </c>
      <c r="S12" s="169" t="str">
        <f>IF(S11&lt;&gt;"",N15,"")</f>
        <v/>
      </c>
      <c r="U12" s="169" t="str">
        <f>IF(P12&lt;&gt;"",P12,"")</f>
        <v/>
      </c>
      <c r="V12" s="169">
        <f>SUMPRODUCT(($CZ$3:$CZ$42=$U12)*($DC$3:$DC$42=$U13)*($DD$3:$DD$42="W"))+SUMPRODUCT(($CZ$3:$CZ$42=$U12)*($DC$3:$DC$42=$U14)*($DD$3:$DD$42="W"))+SUMPRODUCT(($CZ$3:$CZ$42=$U12)*($DC$3:$DC$42=$U15)*($DD$3:$DD$42="W"))+SUMPRODUCT(($CZ$3:$CZ$42=$U12)*($DC$3:$DC$42=$U11)*($DD$3:$DD$42="W"))+SUMPRODUCT(($CZ$3:$CZ$42=$U13)*($DC$3:$DC$42=$U12)*($DE$3:$DE$42="W"))+SUMPRODUCT(($CZ$3:$CZ$42=$U14)*($DC$3:$DC$42=$U12)*($DE$3:$DE$42="W"))+SUMPRODUCT(($CZ$3:$CZ$42=$U15)*($DC$3:$DC$42=$U12)*($DE$3:$DE$42="W"))+SUMPRODUCT(($CZ$3:$CZ$42=$U11)*($DC$3:$DC$42=$U12)*($DE$3:$DE$42="W"))</f>
        <v>0</v>
      </c>
      <c r="W12" s="169">
        <f>SUMPRODUCT(($CZ$3:$CZ$42=$U12)*($DC$3:$DC$42=$U13)*($DD$3:$DD$42="D"))+SUMPRODUCT(($CZ$3:$CZ$42=$U12)*($DC$3:$DC$42=$U14)*($DD$3:$DD$42="D"))+SUMPRODUCT(($CZ$3:$CZ$42=$U12)*($DC$3:$DC$42=$U15)*($DD$3:$DD$42="D"))+SUMPRODUCT(($CZ$3:$CZ$42=$U12)*($DC$3:$DC$42=$U11)*($DD$3:$DD$42="D"))+SUMPRODUCT(($CZ$3:$CZ$42=$U13)*($DC$3:$DC$42=$U12)*($DD$3:$DD$42="D"))+SUMPRODUCT(($CZ$3:$CZ$42=$U14)*($DC$3:$DC$42=$U12)*($DD$3:$DD$42="D"))+SUMPRODUCT(($CZ$3:$CZ$42=$U15)*($DC$3:$DC$42=$U12)*($DD$3:$DD$42="D"))+SUMPRODUCT(($CZ$3:$CZ$42=$U11)*($DC$3:$DC$42=$U12)*($DD$3:$DD$42="D"))</f>
        <v>0</v>
      </c>
      <c r="X12" s="169">
        <f>SUMPRODUCT(($CZ$3:$CZ$42=$U12)*($DC$3:$DC$42=$U13)*($DD$3:$DD$42="L"))+SUMPRODUCT(($CZ$3:$CZ$42=$U12)*($DC$3:$DC$42=$U14)*($DD$3:$DD$42="L"))+SUMPRODUCT(($CZ$3:$CZ$42=$U12)*($DC$3:$DC$42=$U15)*($DD$3:$DD$42="L"))+SUMPRODUCT(($CZ$3:$CZ$42=$U12)*($DC$3:$DC$42=$U11)*($DD$3:$DD$42="L"))+SUMPRODUCT(($CZ$3:$CZ$42=$U13)*($DC$3:$DC$42=$U12)*($DE$3:$DE$42="L"))+SUMPRODUCT(($CZ$3:$CZ$42=$U14)*($DC$3:$DC$42=$U12)*($DE$3:$DE$42="L"))+SUMPRODUCT(($CZ$3:$CZ$42=$U15)*($DC$3:$DC$42=$U12)*($DE$3:$DE$42="L"))+SUMPRODUCT(($CZ$3:$CZ$42=$U11)*($DC$3:$DC$42=$U12)*($DE$3:$DE$42="L"))</f>
        <v>0</v>
      </c>
      <c r="Y12" s="169">
        <f>SUMPRODUCT(($CZ$3:$CZ$42=$U12)*($DC$3:$DC$42=$U13)*$DA$3:$DA$42)+SUMPRODUCT(($CZ$3:$CZ$42=$U12)*($DC$3:$DC$42=$U14)*$DA$3:$DA$42)+SUMPRODUCT(($CZ$3:$CZ$42=$U12)*($DC$3:$DC$42=$U15)*$DA$3:$DA$42)+SUMPRODUCT(($CZ$3:$CZ$42=$U12)*($DC$3:$DC$42=$U11)*$DA$3:$DA$42)+SUMPRODUCT(($CZ$3:$CZ$42=$U13)*($DC$3:$DC$42=$U12)*$DB$3:$DB$42)+SUMPRODUCT(($CZ$3:$CZ$42=$U14)*($DC$3:$DC$42=$U12)*$DB$3:$DB$42)+SUMPRODUCT(($CZ$3:$CZ$42=$U15)*($DC$3:$DC$42=$U12)*$DB$3:$DB$42)+SUMPRODUCT(($CZ$3:$CZ$42=$U11)*($DC$3:$DC$42=$U12)*$DB$3:$DB$42)</f>
        <v>0</v>
      </c>
      <c r="Z12" s="169">
        <f>SUMPRODUCT(($CZ$3:$CZ$42=$U12)*($DC$3:$DC$42=$U13)*$DB$3:$DB$42)+SUMPRODUCT(($CZ$3:$CZ$42=$U12)*($DC$3:$DC$42=$U14)*$DB$3:$DB$42)+SUMPRODUCT(($CZ$3:$CZ$42=$U12)*($DC$3:$DC$42=$U15)*$DB$3:$DB$42)+SUMPRODUCT(($CZ$3:$CZ$42=$U12)*($DC$3:$DC$42=$U11)*$DB$3:$DB$42)+SUMPRODUCT(($CZ$3:$CZ$42=$U13)*($DC$3:$DC$42=$U12)*$DA$3:$DA$42)+SUMPRODUCT(($CZ$3:$CZ$42=$U14)*($DC$3:$DC$42=$U12)*$DA$3:$DA$42)+SUMPRODUCT(($CZ$3:$CZ$42=$U15)*($DC$3:$DC$42=$U12)*$DA$3:$DA$42)+SUMPRODUCT(($CZ$3:$CZ$42=$U11)*($DC$3:$DC$42=$U12)*$DA$3:$DA$42)</f>
        <v>0</v>
      </c>
      <c r="AA12" s="169">
        <f>Y12-Z12+1000</f>
        <v>1000</v>
      </c>
      <c r="AB12" s="169" t="str">
        <f>IF(U12&lt;&gt;"",V12*3+W12*1,"")</f>
        <v/>
      </c>
      <c r="AC12" s="169" t="str">
        <f>IF(U12&lt;&gt;"",VLOOKUP(U12,$B$4:$H$40,7,FALSE),"")</f>
        <v/>
      </c>
      <c r="AD12" s="169" t="str">
        <f>IF(U12&lt;&gt;"",VLOOKUP(U12,$B$4:$H$40,5,FALSE),"")</f>
        <v/>
      </c>
      <c r="AE12" s="169" t="str">
        <f>IF(U12&lt;&gt;"",VLOOKUP(U12,$B$4:$J$40,9,FALSE),"")</f>
        <v/>
      </c>
      <c r="AF12" s="169" t="str">
        <f>AB12</f>
        <v/>
      </c>
      <c r="AG12" s="169" t="str">
        <f>IF(U12&lt;&gt;"",RANK(AF12,AF$11:AF$15),"")</f>
        <v/>
      </c>
      <c r="AH12" s="169" t="str">
        <f>IF(U12&lt;&gt;"",SUMPRODUCT((AF$11:AF$15=AF12)*(AA$11:AA$15&gt;AA12)),"")</f>
        <v/>
      </c>
      <c r="AI12" s="169" t="str">
        <f>IF(U12&lt;&gt;"",SUMPRODUCT((AF$11:AF$15=AF12)*(AA$11:AA$15=AA12)*(Y$11:Y$15&gt;Y12)),"")</f>
        <v/>
      </c>
      <c r="AJ12" s="169" t="str">
        <f>IF(U12&lt;&gt;"",SUMPRODUCT((AF$11:AF$15=AF12)*(AA$11:AA$15=AA12)*(Y$11:Y$15=Y12)*(AC$11:AC$15&gt;AC12)),"")</f>
        <v/>
      </c>
      <c r="AK12" s="169" t="str">
        <f>IF(U12&lt;&gt;"",SUMPRODUCT((AF$11:AF$15=AF12)*(AA$11:AA$15=AA12)*(Y$11:Y$15=Y12)*(AC$11:AC$15=AC12)*(AD$11:AD$15&gt;AD12)),"")</f>
        <v/>
      </c>
      <c r="AL12" s="169" t="str">
        <f>IF(U12&lt;&gt;"",SUMPRODUCT((AF$11:AF$15=AF12)*(AA$11:AA$15=AA12)*(Y$11:Y$15=Y12)*(AC$11:AC$15=AC12)*(AD$11:AD$15=AD12)*(AE$11:AE$15&gt;AE12)),"")</f>
        <v/>
      </c>
      <c r="AM12" s="169" t="str">
        <f>IF(U12&lt;&gt;"",SUM(AG12:AL12),"")</f>
        <v/>
      </c>
      <c r="AN12" s="169" t="str">
        <f>IF(U12&lt;&gt;"",INDEX($U$11:$U$15,MATCH(2,$AM$11:$AM$15,0),0),"")</f>
        <v/>
      </c>
      <c r="AO12" s="169" t="str">
        <f>IF(Q11&lt;&gt;"",Q11,"")</f>
        <v/>
      </c>
      <c r="AP12" s="169">
        <f>SUMPRODUCT(($CZ$3:$CZ$42=$AO12)*($DC$3:$DC$42=$AO13)*($DD$3:$DD$42="W"))+SUMPRODUCT(($CZ$3:$CZ$42=$AO12)*($DC$3:$DC$42=$AO14)*($DD$3:$DD$42="W"))+SUMPRODUCT(($CZ$3:$CZ$42=$AO12)*($DC$3:$DC$42=$AO15)*($DD$3:$DD$42="W"))+SUMPRODUCT(($CZ$3:$CZ$42=$AO13)*($DC$3:$DC$42=$AO12)*($DE$3:$DE$42="W"))+SUMPRODUCT(($CZ$3:$CZ$42=$AO14)*($DC$3:$DC$42=$AO12)*($DE$3:$DE$42="W"))+SUMPRODUCT(($CZ$3:$CZ$42=$AO15)*($DC$3:$DC$42=$AO12)*($DE$3:$DE$42="W"))</f>
        <v>0</v>
      </c>
      <c r="AQ12" s="169">
        <f>SUMPRODUCT(($CZ$3:$CZ$42=$AO12)*($DC$3:$DC$42=$AO13)*($DD$3:$DD$42="D"))+SUMPRODUCT(($CZ$3:$CZ$42=$AO12)*($DC$3:$DC$42=$AO14)*($DD$3:$DD$42="D"))+SUMPRODUCT(($CZ$3:$CZ$42=$AO12)*($DC$3:$DC$42=$AO15)*($DD$3:$DD$42="D"))+SUMPRODUCT(($CZ$3:$CZ$42=$AO13)*($DC$3:$DC$42=$AO12)*($DD$3:$DD$42="D"))+SUMPRODUCT(($CZ$3:$CZ$42=$AO14)*($DC$3:$DC$42=$AO12)*($DD$3:$DD$42="D"))+SUMPRODUCT(($CZ$3:$CZ$42=$AO15)*($DC$3:$DC$42=$AO12)*($DD$3:$DD$42="D"))</f>
        <v>0</v>
      </c>
      <c r="AR12" s="169">
        <f>SUMPRODUCT(($CZ$3:$CZ$42=$AO12)*($DC$3:$DC$42=$AO13)*($DD$3:$DD$42="L"))+SUMPRODUCT(($CZ$3:$CZ$42=$AO12)*($DC$3:$DC$42=$AO14)*($DD$3:$DD$42="L"))+SUMPRODUCT(($CZ$3:$CZ$42=$AO12)*($DC$3:$DC$42=$AO15)*($DD$3:$DD$42="L"))+SUMPRODUCT(($CZ$3:$CZ$42=$AO13)*($DC$3:$DC$42=$AO12)*($DE$3:$DE$42="L"))+SUMPRODUCT(($CZ$3:$CZ$42=$AO14)*($DC$3:$DC$42=$AO12)*($DE$3:$DE$42="L"))+SUMPRODUCT(($CZ$3:$CZ$42=$AO15)*($DC$3:$DC$42=$AO12)*($DE$3:$DE$42="L"))</f>
        <v>0</v>
      </c>
      <c r="AS12" s="169">
        <f>SUMPRODUCT(($CZ$3:$CZ$42=$AO12)*($DC$3:$DC$42=$AO13)*$DA$3:$DA$42)+SUMPRODUCT(($CZ$3:$CZ$42=$AO12)*($DC$3:$DC$42=$AO14)*$DA$3:$DA$42)+SUMPRODUCT(($CZ$3:$CZ$42=$AO12)*($DC$3:$DC$42=$AO15)*$DA$3:$DA$42)+SUMPRODUCT(($CZ$3:$CZ$42=$AO12)*($DC$3:$DC$42=$AO11)*$DA$3:$DA$42)+SUMPRODUCT(($CZ$3:$CZ$42=$AO13)*($DC$3:$DC$42=$AO12)*$DB$3:$DB$42)+SUMPRODUCT(($CZ$3:$CZ$42=$AO14)*($DC$3:$DC$42=$AO12)*$DB$3:$DB$42)+SUMPRODUCT(($CZ$3:$CZ$42=$AO15)*($DC$3:$DC$42=$AO12)*$DB$3:$DB$42)+SUMPRODUCT(($CZ$3:$CZ$42=$AO11)*($DC$3:$DC$42=$AO12)*$DB$3:$DB$42)</f>
        <v>0</v>
      </c>
      <c r="AT12" s="169">
        <f>SUMPRODUCT(($CZ$3:$CZ$42=$AO12)*($DC$3:$DC$42=$AO13)*$DB$3:$DB$42)+SUMPRODUCT(($CZ$3:$CZ$42=$AO12)*($DC$3:$DC$42=$AO14)*$DB$3:$DB$42)+SUMPRODUCT(($CZ$3:$CZ$42=$AO12)*($DC$3:$DC$42=$AO15)*$DB$3:$DB$42)+SUMPRODUCT(($CZ$3:$CZ$42=$AO12)*($DC$3:$DC$42=$AO11)*$DB$3:$DB$42)+SUMPRODUCT(($CZ$3:$CZ$42=$AO13)*($DC$3:$DC$42=$AO12)*$DA$3:$DA$42)+SUMPRODUCT(($CZ$3:$CZ$42=$AO14)*($DC$3:$DC$42=$AO12)*$DA$3:$DA$42)+SUMPRODUCT(($CZ$3:$CZ$42=$AO15)*($DC$3:$DC$42=$AO12)*$DA$3:$DA$42)+SUMPRODUCT(($CZ$3:$CZ$42=$AO11)*($DC$3:$DC$42=$AO12)*$DA$3:$DA$42)</f>
        <v>0</v>
      </c>
      <c r="AU12" s="169">
        <f>AS12-AT12+1000</f>
        <v>1000</v>
      </c>
      <c r="AV12" s="169" t="str">
        <f>IF(AO12&lt;&gt;"",AP12*3+AQ12*1,"")</f>
        <v/>
      </c>
      <c r="AW12" s="169" t="str">
        <f>IF(AO12&lt;&gt;"",VLOOKUP(AO12,$B$4:$H$40,7,FALSE),"")</f>
        <v/>
      </c>
      <c r="AX12" s="169" t="str">
        <f>IF(AO12&lt;&gt;"",VLOOKUP(AO12,$B$4:$H$40,5,FALSE),"")</f>
        <v/>
      </c>
      <c r="AY12" s="169" t="str">
        <f>IF(AO12&lt;&gt;"",VLOOKUP(AO12,$B$4:$J$40,9,FALSE),"")</f>
        <v/>
      </c>
      <c r="AZ12" s="169" t="str">
        <f>AV12</f>
        <v/>
      </c>
      <c r="BA12" s="169" t="str">
        <f>IF(AO12&lt;&gt;"",RANK(AZ12,AZ$11:AZ$15),"")</f>
        <v/>
      </c>
      <c r="BB12" s="169" t="str">
        <f>IF(AO12&lt;&gt;"",SUMPRODUCT((AZ$11:AZ$15=AZ12)*(AU$11:AU$15&gt;AU12)),"")</f>
        <v/>
      </c>
      <c r="BC12" s="169" t="str">
        <f>IF(AO12&lt;&gt;"",SUMPRODUCT((AZ$11:AZ$15=AZ12)*(AU$11:AU$15=AU12)*(AS$11:AS$15&gt;AS12)),"")</f>
        <v/>
      </c>
      <c r="BD12" s="169" t="str">
        <f>IF(AO12&lt;&gt;"",SUMPRODUCT((AZ$11:AZ$15=AZ12)*(AU$11:AU$15=AU12)*(AS$11:AS$15=AS12)*(AW$11:AW$15&gt;AW12)),"")</f>
        <v/>
      </c>
      <c r="BE12" s="169" t="str">
        <f>IF(AO12&lt;&gt;"",SUMPRODUCT((AZ$11:AZ$15=AZ12)*(AU$11:AU$15=AU12)*(AS$11:AS$15=AS12)*(AW$11:AW$15=AW12)*(AX$11:AX$15&gt;AX12)),"")</f>
        <v/>
      </c>
      <c r="BF12" s="169" t="str">
        <f>IF(AO12&lt;&gt;"",SUMPRODUCT((AZ$11:AZ$15=AZ12)*(AU$11:AU$15=AU12)*(AS$11:AS$15=AS12)*(AW$11:AW$15=AW12)*(AX$11:AX$15=AX12)*(AY$11:AY$15&gt;AY12)),"")</f>
        <v/>
      </c>
      <c r="BG12" s="169" t="str">
        <f>IF(AO12&lt;&gt;"",SUM(BA12:BF12)+1,"")</f>
        <v/>
      </c>
      <c r="BH12" s="169" t="str">
        <f>IF(AO12&lt;&gt;"",INDEX(AO12:AO15,MATCH(2,BG12:BG15,0),0),"")</f>
        <v/>
      </c>
      <c r="CW12" s="169" t="str">
        <f>IF(BH12&lt;&gt;"",BH12,IF(AN12&lt;&gt;"",AN12,N12))</f>
        <v>England</v>
      </c>
      <c r="CX12" s="169">
        <v>2</v>
      </c>
      <c r="CY12" s="169">
        <v>10</v>
      </c>
      <c r="CZ12" s="169" t="str">
        <f>Tournament!H22</f>
        <v>Belgien</v>
      </c>
      <c r="DA12" s="169">
        <f>IF(AND(Tournament!J22&lt;&gt;"",Tournament!L22&lt;&gt;""),Tournament!J22,0)</f>
        <v>0</v>
      </c>
      <c r="DB12" s="169">
        <f>IF(AND(Tournament!L22&lt;&gt;"",Tournament!J22&lt;&gt;""),Tournament!L22,0)</f>
        <v>2</v>
      </c>
      <c r="DC12" s="169" t="str">
        <f>Tournament!N22</f>
        <v>Italien</v>
      </c>
      <c r="DD12" s="169" t="str">
        <f>IF(AND(Tournament!J22&lt;&gt;"",Tournament!L22&lt;&gt;""),IF(DA12&gt;DB12,"W",IF(DA12=DB12,"D","L")),"")</f>
        <v>L</v>
      </c>
      <c r="DE12" s="169" t="str">
        <f t="shared" si="6"/>
        <v>W</v>
      </c>
      <c r="DH12" s="306" t="s">
        <v>103</v>
      </c>
      <c r="DI12" s="306"/>
      <c r="DJ12" s="306"/>
      <c r="DK12" s="306"/>
      <c r="DL12" s="172" t="s">
        <v>99</v>
      </c>
      <c r="DM12" s="172" t="s">
        <v>100</v>
      </c>
      <c r="DN12" s="172" t="s">
        <v>101</v>
      </c>
      <c r="DO12" s="172" t="s">
        <v>102</v>
      </c>
      <c r="DP12" s="173"/>
      <c r="DQ12" s="172" t="str">
        <f>Tournament!AQ44</f>
        <v>B</v>
      </c>
      <c r="DR12" s="174" t="str">
        <f>Tournament!AQ45</f>
        <v>E</v>
      </c>
      <c r="DS12" s="174" t="str">
        <f>Tournament!AQ46</f>
        <v>F</v>
      </c>
      <c r="DT12" s="174" t="str">
        <f>Tournament!AQ47</f>
        <v>C</v>
      </c>
      <c r="DU12" s="174"/>
      <c r="DV12" s="173"/>
      <c r="DW12" s="173"/>
      <c r="DX12" s="173"/>
    </row>
    <row r="13" spans="1:128" x14ac:dyDescent="0.2">
      <c r="A13" s="169">
        <f>VLOOKUP(B13,$CW$11:$CX$15,2,FALSE)</f>
        <v>1</v>
      </c>
      <c r="B13" s="169" t="str">
        <f>'Countries and Timezone'!C13</f>
        <v>Wales</v>
      </c>
      <c r="C13" s="169">
        <f>SUMPRODUCT(($CZ$3:$CZ$42=$B13)*($DD$3:$DD$42="W"))+SUMPRODUCT(($DC$3:$DC$42=$B13)*($DE$3:$DE$42="W"))</f>
        <v>2</v>
      </c>
      <c r="D13" s="169">
        <f>SUMPRODUCT(($CZ$3:$CZ$42=$B13)*($DD$3:$DD$42="D"))+SUMPRODUCT(($DC$3:$DC$42=$B13)*($DE$3:$DE$42="D"))</f>
        <v>0</v>
      </c>
      <c r="E13" s="169">
        <f>SUMPRODUCT(($CZ$3:$CZ$42=$B13)*($DD$3:$DD$42="L"))+SUMPRODUCT(($DC$3:$DC$42=$B13)*($DE$3:$DE$42="L"))</f>
        <v>1</v>
      </c>
      <c r="F13" s="169">
        <f>SUMIF($CZ$3:$CZ$60,B13,$DA$3:$DA$60)+SUMIF($DC$3:$DC$60,B13,$DB$3:$DB$60)</f>
        <v>6</v>
      </c>
      <c r="G13" s="169">
        <f>SUMIF($DC$3:$DC$60,B13,$DA$3:$DA$60)+SUMIF($CZ$3:$CZ$60,B13,$DB$3:$DB$60)</f>
        <v>3</v>
      </c>
      <c r="H13" s="169">
        <f>F13-G13+1000</f>
        <v>1003</v>
      </c>
      <c r="I13" s="169">
        <f>C13*3+D13*1</f>
        <v>6</v>
      </c>
      <c r="J13" s="169">
        <v>14</v>
      </c>
      <c r="K13" s="169">
        <f>RANK(I13,I$11:I$15)</f>
        <v>1</v>
      </c>
      <c r="M13" s="169">
        <f>RANK(I13,$I$11:$I$15)+COUNTIF($I$11:I13,I13)-1</f>
        <v>1</v>
      </c>
      <c r="N13" s="169" t="str">
        <f>INDEX($B$11:$B$15,MATCH(3,$M$11:$M$15,0),0)</f>
        <v>Slowakei</v>
      </c>
      <c r="O13" s="169">
        <f>INDEX($K$11:$K$15,MATCH(N13,$B$11:$B$15,0),0)</f>
        <v>3</v>
      </c>
      <c r="P13" s="169" t="str">
        <f>IF(AND(P12&lt;&gt;"",O13=1),N13,"")</f>
        <v/>
      </c>
      <c r="Q13" s="169" t="str">
        <f>IF(AND(Q12&lt;&gt;"",O14=2),N14,"")</f>
        <v/>
      </c>
      <c r="R13" s="169" t="str">
        <f>IF(AND(R12&lt;&gt;"",O15=3),N15,"")</f>
        <v/>
      </c>
      <c r="U13" s="169" t="str">
        <f>IF(P13&lt;&gt;"",P13,"")</f>
        <v/>
      </c>
      <c r="V13" s="169">
        <f>SUMPRODUCT(($CZ$3:$CZ$42=$U13)*($DC$3:$DC$42=$U14)*($DD$3:$DD$42="W"))+SUMPRODUCT(($CZ$3:$CZ$42=$U13)*($DC$3:$DC$42=$U15)*($DD$3:$DD$42="W"))+SUMPRODUCT(($CZ$3:$CZ$42=$U13)*($DC$3:$DC$42=$U11)*($DD$3:$DD$42="W"))+SUMPRODUCT(($CZ$3:$CZ$42=$U13)*($DC$3:$DC$42=$U12)*($DD$3:$DD$42="W"))+SUMPRODUCT(($CZ$3:$CZ$42=$U14)*($DC$3:$DC$42=$U13)*($DE$3:$DE$42="W"))+SUMPRODUCT(($CZ$3:$CZ$42=$U15)*($DC$3:$DC$42=$U13)*($DE$3:$DE$42="W"))+SUMPRODUCT(($CZ$3:$CZ$42=$U11)*($DC$3:$DC$42=$U13)*($DE$3:$DE$42="W"))+SUMPRODUCT(($CZ$3:$CZ$42=$U12)*($DC$3:$DC$42=$U13)*($DE$3:$DE$42="W"))</f>
        <v>0</v>
      </c>
      <c r="W13" s="169">
        <f>SUMPRODUCT(($CZ$3:$CZ$42=$U13)*($DC$3:$DC$42=$U14)*($DD$3:$DD$42="D"))+SUMPRODUCT(($CZ$3:$CZ$42=$U13)*($DC$3:$DC$42=$U15)*($DD$3:$DD$42="D"))+SUMPRODUCT(($CZ$3:$CZ$42=$U13)*($DC$3:$DC$42=$U11)*($DD$3:$DD$42="D"))+SUMPRODUCT(($CZ$3:$CZ$42=$U13)*($DC$3:$DC$42=$U12)*($DD$3:$DD$42="D"))+SUMPRODUCT(($CZ$3:$CZ$42=$U14)*($DC$3:$DC$42=$U13)*($DD$3:$DD$42="D"))+SUMPRODUCT(($CZ$3:$CZ$42=$U15)*($DC$3:$DC$42=$U13)*($DD$3:$DD$42="D"))+SUMPRODUCT(($CZ$3:$CZ$42=$U11)*($DC$3:$DC$42=$U13)*($DD$3:$DD$42="D"))+SUMPRODUCT(($CZ$3:$CZ$42=$U12)*($DC$3:$DC$42=$U13)*($DD$3:$DD$42="D"))</f>
        <v>0</v>
      </c>
      <c r="X13" s="169">
        <f>SUMPRODUCT(($CZ$3:$CZ$42=$U13)*($DC$3:$DC$42=$U14)*($DD$3:$DD$42="L"))+SUMPRODUCT(($CZ$3:$CZ$42=$U13)*($DC$3:$DC$42=$U15)*($DD$3:$DD$42="L"))+SUMPRODUCT(($CZ$3:$CZ$42=$U13)*($DC$3:$DC$42=$U11)*($DD$3:$DD$42="L"))+SUMPRODUCT(($CZ$3:$CZ$42=$U13)*($DC$3:$DC$42=$U12)*($DD$3:$DD$42="L"))+SUMPRODUCT(($CZ$3:$CZ$42=$U14)*($DC$3:$DC$42=$U13)*($DE$3:$DE$42="L"))+SUMPRODUCT(($CZ$3:$CZ$42=$U15)*($DC$3:$DC$42=$U13)*($DE$3:$DE$42="L"))+SUMPRODUCT(($CZ$3:$CZ$42=$U11)*($DC$3:$DC$42=$U13)*($DE$3:$DE$42="L"))+SUMPRODUCT(($CZ$3:$CZ$42=$U12)*($DC$3:$DC$42=$U13)*($DE$3:$DE$42="L"))</f>
        <v>0</v>
      </c>
      <c r="Y13" s="169">
        <f>SUMPRODUCT(($CZ$3:$CZ$42=$U13)*($DC$3:$DC$42=$U14)*$DA$3:$DA$42)+SUMPRODUCT(($CZ$3:$CZ$42=$U13)*($DC$3:$DC$42=$U15)*$DA$3:$DA$42)+SUMPRODUCT(($CZ$3:$CZ$42=$U13)*($DC$3:$DC$42=$U11)*$DA$3:$DA$42)+SUMPRODUCT(($CZ$3:$CZ$42=$U13)*($DC$3:$DC$42=$U12)*$DA$3:$DA$42)+SUMPRODUCT(($CZ$3:$CZ$42=$U14)*($DC$3:$DC$42=$U13)*$DB$3:$DB$42)+SUMPRODUCT(($CZ$3:$CZ$42=$U15)*($DC$3:$DC$42=$U13)*$DB$3:$DB$42)+SUMPRODUCT(($CZ$3:$CZ$42=$U11)*($DC$3:$DC$42=$U13)*$DB$3:$DB$42)+SUMPRODUCT(($CZ$3:$CZ$42=$U12)*($DC$3:$DC$42=$U13)*$DB$3:$DB$42)</f>
        <v>0</v>
      </c>
      <c r="Z13" s="169">
        <f>SUMPRODUCT(($CZ$3:$CZ$42=$U13)*($DC$3:$DC$42=$U14)*$DB$3:$DB$42)+SUMPRODUCT(($CZ$3:$CZ$42=$U13)*($DC$3:$DC$42=$U15)*$DB$3:$DB$42)+SUMPRODUCT(($CZ$3:$CZ$42=$U13)*($DC$3:$DC$42=$U11)*$DB$3:$DB$42)+SUMPRODUCT(($CZ$3:$CZ$42=$U13)*($DC$3:$DC$42=$U12)*$DB$3:$DB$42)+SUMPRODUCT(($CZ$3:$CZ$42=$U14)*($DC$3:$DC$42=$U13)*$DA$3:$DA$42)+SUMPRODUCT(($CZ$3:$CZ$42=$U15)*($DC$3:$DC$42=$U13)*$DA$3:$DA$42)+SUMPRODUCT(($CZ$3:$CZ$42=$U11)*($DC$3:$DC$42=$U13)*$DA$3:$DA$42)+SUMPRODUCT(($CZ$3:$CZ$42=$U12)*($DC$3:$DC$42=$U13)*$DA$3:$DA$42)</f>
        <v>0</v>
      </c>
      <c r="AA13" s="169">
        <f>Y13-Z13+1000</f>
        <v>1000</v>
      </c>
      <c r="AB13" s="169" t="str">
        <f>IF(U13&lt;&gt;"",V13*3+W13*1,"")</f>
        <v/>
      </c>
      <c r="AC13" s="169" t="str">
        <f>IF(U13&lt;&gt;"",VLOOKUP(U13,$B$4:$H$40,7,FALSE),"")</f>
        <v/>
      </c>
      <c r="AD13" s="169" t="str">
        <f>IF(U13&lt;&gt;"",VLOOKUP(U13,$B$4:$H$40,5,FALSE),"")</f>
        <v/>
      </c>
      <c r="AE13" s="169" t="str">
        <f>IF(U13&lt;&gt;"",VLOOKUP(U13,$B$4:$J$40,9,FALSE),"")</f>
        <v/>
      </c>
      <c r="AF13" s="169" t="str">
        <f>AB13</f>
        <v/>
      </c>
      <c r="AG13" s="169" t="str">
        <f>IF(U13&lt;&gt;"",RANK(AF13,AF$11:AF$15),"")</f>
        <v/>
      </c>
      <c r="AH13" s="169" t="str">
        <f>IF(U13&lt;&gt;"",SUMPRODUCT((AF$11:AF$15=AF13)*(AA$11:AA$15&gt;AA13)),"")</f>
        <v/>
      </c>
      <c r="AI13" s="169" t="str">
        <f>IF(U13&lt;&gt;"",SUMPRODUCT((AF$11:AF$15=AF13)*(AA$11:AA$15=AA13)*(Y$11:Y$15&gt;Y13)),"")</f>
        <v/>
      </c>
      <c r="AJ13" s="169" t="str">
        <f>IF(U13&lt;&gt;"",SUMPRODUCT((AF$11:AF$15=AF13)*(AA$11:AA$15=AA13)*(Y$11:Y$15=Y13)*(AC$11:AC$15&gt;AC13)),"")</f>
        <v/>
      </c>
      <c r="AK13" s="169" t="str">
        <f>IF(U13&lt;&gt;"",SUMPRODUCT((AF$11:AF$15=AF13)*(AA$11:AA$15=AA13)*(Y$11:Y$15=Y13)*(AC$11:AC$15=AC13)*(AD$11:AD$15&gt;AD13)),"")</f>
        <v/>
      </c>
      <c r="AL13" s="169" t="str">
        <f>IF(U13&lt;&gt;"",SUMPRODUCT((AF$11:AF$15=AF13)*(AA$11:AA$15=AA13)*(Y$11:Y$15=Y13)*(AC$11:AC$15=AC13)*(AD$11:AD$15=AD13)*(AE$11:AE$15&gt;AE13)),"")</f>
        <v/>
      </c>
      <c r="AM13" s="169" t="str">
        <f>IF(U13&lt;&gt;"",SUM(AG13:AL13),"")</f>
        <v/>
      </c>
      <c r="AN13" s="169" t="str">
        <f>IF(U13&lt;&gt;"",INDEX($U$11:$U$15,MATCH(3,$AM$11:$AM$15,0),0),"")</f>
        <v/>
      </c>
      <c r="AO13" s="169" t="str">
        <f>IF(Q12&lt;&gt;"",Q12,"")</f>
        <v/>
      </c>
      <c r="AP13" s="169">
        <f>SUMPRODUCT(($CZ$3:$CZ$42=$AO13)*($DC$3:$DC$42=$AO14)*($DD$3:$DD$42="W"))+SUMPRODUCT(($CZ$3:$CZ$42=$AO13)*($DC$3:$DC$42=$AO15)*($DD$3:$DD$42="W"))+SUMPRODUCT(($CZ$3:$CZ$42=$AO13)*($DC$3:$DC$42=$AO12)*($DD$3:$DD$42="W"))+SUMPRODUCT(($CZ$3:$CZ$42=$AO14)*($DC$3:$DC$42=$AO13)*($DE$3:$DE$42="W"))+SUMPRODUCT(($CZ$3:$CZ$42=$AO15)*($DC$3:$DC$42=$AO13)*($DE$3:$DE$42="W"))+SUMPRODUCT(($CZ$3:$CZ$42=$AO12)*($DC$3:$DC$42=$AO13)*($DE$3:$DE$42="W"))</f>
        <v>0</v>
      </c>
      <c r="AQ13" s="169">
        <f>SUMPRODUCT(($CZ$3:$CZ$42=$AO13)*($DC$3:$DC$42=$AO14)*($DD$3:$DD$42="D"))+SUMPRODUCT(($CZ$3:$CZ$42=$AO13)*($DC$3:$DC$42=$AO15)*($DD$3:$DD$42="D"))+SUMPRODUCT(($CZ$3:$CZ$42=$AO13)*($DC$3:$DC$42=$AO12)*($DD$3:$DD$42="D"))+SUMPRODUCT(($CZ$3:$CZ$42=$AO14)*($DC$3:$DC$42=$AO13)*($DD$3:$DD$42="D"))+SUMPRODUCT(($CZ$3:$CZ$42=$AO15)*($DC$3:$DC$42=$AO13)*($DD$3:$DD$42="D"))+SUMPRODUCT(($CZ$3:$CZ$42=$AO12)*($DC$3:$DC$42=$AO13)*($DD$3:$DD$42="D"))</f>
        <v>0</v>
      </c>
      <c r="AR13" s="169">
        <f>SUMPRODUCT(($CZ$3:$CZ$42=$AO13)*($DC$3:$DC$42=$AO14)*($DD$3:$DD$42="L"))+SUMPRODUCT(($CZ$3:$CZ$42=$AO13)*($DC$3:$DC$42=$AO15)*($DD$3:$DD$42="L"))+SUMPRODUCT(($CZ$3:$CZ$42=$AO13)*($DC$3:$DC$42=$AO12)*($DD$3:$DD$42="L"))+SUMPRODUCT(($CZ$3:$CZ$42=$AO14)*($DC$3:$DC$42=$AO13)*($DE$3:$DE$42="L"))+SUMPRODUCT(($CZ$3:$CZ$42=$AO15)*($DC$3:$DC$42=$AO13)*($DE$3:$DE$42="L"))+SUMPRODUCT(($CZ$3:$CZ$42=$AO12)*($DC$3:$DC$42=$AO13)*($DE$3:$DE$42="L"))</f>
        <v>0</v>
      </c>
      <c r="AS13" s="169">
        <f>SUMPRODUCT(($CZ$3:$CZ$42=$AO13)*($DC$3:$DC$42=$AO14)*$DA$3:$DA$42)+SUMPRODUCT(($CZ$3:$CZ$42=$AO13)*($DC$3:$DC$42=$AO15)*$DA$3:$DA$42)+SUMPRODUCT(($CZ$3:$CZ$42=$AO13)*($DC$3:$DC$42=$AO11)*$DA$3:$DA$42)+SUMPRODUCT(($CZ$3:$CZ$42=$AO13)*($DC$3:$DC$42=$AO12)*$DA$3:$DA$42)+SUMPRODUCT(($CZ$3:$CZ$42=$AO14)*($DC$3:$DC$42=$AO13)*$DB$3:$DB$42)+SUMPRODUCT(($CZ$3:$CZ$42=$AO15)*($DC$3:$DC$42=$AO13)*$DB$3:$DB$42)+SUMPRODUCT(($CZ$3:$CZ$42=$AO11)*($DC$3:$DC$42=$AO13)*$DB$3:$DB$42)+SUMPRODUCT(($CZ$3:$CZ$42=$AO12)*($DC$3:$DC$42=$AO13)*$DB$3:$DB$42)</f>
        <v>0</v>
      </c>
      <c r="AT13" s="169">
        <f>SUMPRODUCT(($CZ$3:$CZ$42=$AO13)*($DC$3:$DC$42=$AO14)*$DB$3:$DB$42)+SUMPRODUCT(($CZ$3:$CZ$42=$AO13)*($DC$3:$DC$42=$AO15)*$DB$3:$DB$42)+SUMPRODUCT(($CZ$3:$CZ$42=$AO13)*($DC$3:$DC$42=$AO11)*$DB$3:$DB$42)+SUMPRODUCT(($CZ$3:$CZ$42=$AO13)*($DC$3:$DC$42=$AO12)*$DB$3:$DB$42)+SUMPRODUCT(($CZ$3:$CZ$42=$AO14)*($DC$3:$DC$42=$AO13)*$DA$3:$DA$42)+SUMPRODUCT(($CZ$3:$CZ$42=$AO15)*($DC$3:$DC$42=$AO13)*$DA$3:$DA$42)+SUMPRODUCT(($CZ$3:$CZ$42=$AO11)*($DC$3:$DC$42=$AO13)*$DA$3:$DA$42)+SUMPRODUCT(($CZ$3:$CZ$42=$AO12)*($DC$3:$DC$42=$AO13)*$DA$3:$DA$42)</f>
        <v>0</v>
      </c>
      <c r="AU13" s="169">
        <f>AS13-AT13+1000</f>
        <v>1000</v>
      </c>
      <c r="AV13" s="169" t="str">
        <f>IF(AO13&lt;&gt;"",AP13*3+AQ13*1,"")</f>
        <v/>
      </c>
      <c r="AW13" s="169" t="str">
        <f>IF(AO13&lt;&gt;"",VLOOKUP(AO13,$B$4:$H$40,7,FALSE),"")</f>
        <v/>
      </c>
      <c r="AX13" s="169" t="str">
        <f>IF(AO13&lt;&gt;"",VLOOKUP(AO13,$B$4:$H$40,5,FALSE),"")</f>
        <v/>
      </c>
      <c r="AY13" s="169" t="str">
        <f>IF(AO13&lt;&gt;"",VLOOKUP(AO13,$B$4:$J$40,9,FALSE),"")</f>
        <v/>
      </c>
      <c r="AZ13" s="169" t="str">
        <f>AV13</f>
        <v/>
      </c>
      <c r="BA13" s="169" t="str">
        <f>IF(AO13&lt;&gt;"",RANK(AZ13,AZ$11:AZ$15),"")</f>
        <v/>
      </c>
      <c r="BB13" s="169" t="str">
        <f>IF(AO13&lt;&gt;"",SUMPRODUCT((AZ$11:AZ$15=AZ13)*(AU$11:AU$15&gt;AU13)),"")</f>
        <v/>
      </c>
      <c r="BC13" s="169" t="str">
        <f>IF(AO13&lt;&gt;"",SUMPRODUCT((AZ$11:AZ$15=AZ13)*(AU$11:AU$15=AU13)*(AS$11:AS$15&gt;AS13)),"")</f>
        <v/>
      </c>
      <c r="BD13" s="169" t="str">
        <f>IF(AO13&lt;&gt;"",SUMPRODUCT((AZ$11:AZ$15=AZ13)*(AU$11:AU$15=AU13)*(AS$11:AS$15=AS13)*(AW$11:AW$15&gt;AW13)),"")</f>
        <v/>
      </c>
      <c r="BE13" s="169" t="str">
        <f>IF(AO13&lt;&gt;"",SUMPRODUCT((AZ$11:AZ$15=AZ13)*(AU$11:AU$15=AU13)*(AS$11:AS$15=AS13)*(AW$11:AW$15=AW13)*(AX$11:AX$15&gt;AX13)),"")</f>
        <v/>
      </c>
      <c r="BF13" s="169" t="str">
        <f>IF(AO13&lt;&gt;"",SUMPRODUCT((AZ$11:AZ$15=AZ13)*(AU$11:AU$15=AU13)*(AS$11:AS$15=AS13)*(AW$11:AW$15=AW13)*(AX$11:AX$15=AX13)*(AY$11:AY$15&gt;AY13)),"")</f>
        <v/>
      </c>
      <c r="BG13" s="169" t="str">
        <f>IF(AO13&lt;&gt;"",SUM(BA13:BF13)+1,"")</f>
        <v/>
      </c>
      <c r="BH13" s="169" t="str">
        <f>IF(AO13&lt;&gt;"",INDEX(AO12:AO15,MATCH(3,BG12:BG15,0),0),"")</f>
        <v/>
      </c>
      <c r="BI13" s="169" t="str">
        <f>IF(R11&lt;&gt;"",R11,"")</f>
        <v/>
      </c>
      <c r="BJ13" s="169">
        <f>SUMPRODUCT(($CZ$3:$CZ$42=$BI13)*($DC$3:$DC$42=$BI14)*($DD$3:$DD$42="W"))+SUMPRODUCT(($CZ$3:$CZ$42=$BI13)*($DC$3:$DC$42=$BI15)*($DD$3:$DD$42="W"))+SUMPRODUCT(($CZ$3:$CZ$42=$BI13)*($DC$3:$DC$42=$BI16)*($DD$3:$DD$42="W"))+SUMPRODUCT(($CZ$3:$CZ$42=$BI14)*($DC$3:$DC$42=$BI13)*($DE$3:$DE$42="W"))+SUMPRODUCT(($CZ$3:$CZ$42=$BI15)*($DC$3:$DC$42=$BI13)*($DE$3:$DE$42="W"))+SUMPRODUCT(($CZ$3:$CZ$42=$BI16)*($DC$3:$DC$42=$BI13)*($DE$3:$DE$42="W"))</f>
        <v>0</v>
      </c>
      <c r="BK13" s="169">
        <f>SUMPRODUCT(($CZ$3:$CZ$42=$BI13)*($DC$3:$DC$42=$BI14)*($DD$3:$DD$42="D"))+SUMPRODUCT(($CZ$3:$CZ$42=$BI13)*($DC$3:$DC$42=$BI15)*($DD$3:$DD$42="D"))+SUMPRODUCT(($CZ$3:$CZ$42=$BI13)*($DC$3:$DC$42=$BI16)*($DD$3:$DD$42="D"))+SUMPRODUCT(($CZ$3:$CZ$42=$BI14)*($DC$3:$DC$42=$BI13)*($DD$3:$DD$42="D"))+SUMPRODUCT(($CZ$3:$CZ$42=$BI15)*($DC$3:$DC$42=$BI13)*($DD$3:$DD$42="D"))+SUMPRODUCT(($CZ$3:$CZ$42=$BI16)*($DC$3:$DC$42=$BI13)*($DD$3:$DD$42="D"))</f>
        <v>0</v>
      </c>
      <c r="BL13" s="169">
        <f>SUMPRODUCT(($CZ$3:$CZ$42=$BI13)*($DC$3:$DC$42=$BI14)*($DD$3:$DD$42="L"))+SUMPRODUCT(($CZ$3:$CZ$42=$BI13)*($DC$3:$DC$42=$BI15)*($DD$3:$DD$42="L"))+SUMPRODUCT(($CZ$3:$CZ$42=$BI13)*($DC$3:$DC$42=$BI16)*($DD$3:$DD$42="L"))+SUMPRODUCT(($CZ$3:$CZ$42=$BI14)*($DC$3:$DC$42=$BI13)*($DE$3:$DE$42="L"))+SUMPRODUCT(($CZ$3:$CZ$42=$BI15)*($DC$3:$DC$42=$BI13)*($DE$3:$DE$42="L"))+SUMPRODUCT(($CZ$3:$CZ$42=$BI16)*($DC$3:$DC$42=$BI13)*($DE$3:$DE$42="L"))</f>
        <v>0</v>
      </c>
      <c r="BM13" s="169">
        <f>SUMPRODUCT(($CZ$3:$CZ$42=$BI13)*($DC$3:$DC$42=$BI14)*$DA$3:$DA$42)+SUMPRODUCT(($CZ$3:$CZ$42=$BI13)*($DC$3:$DC$42=$BI15)*$DA$3:$DA$42)+SUMPRODUCT(($CZ$3:$CZ$42=$BI13)*($DC$3:$DC$42=$BI11)*$DA$3:$DA$42)+SUMPRODUCT(($CZ$3:$CZ$42=$BI13)*($DC$3:$DC$42=$BI12)*$DA$3:$DA$42)+SUMPRODUCT(($CZ$3:$CZ$42=$BI14)*($DC$3:$DC$42=$BI13)*$DB$3:$DB$42)+SUMPRODUCT(($CZ$3:$CZ$42=$BI15)*($DC$3:$DC$42=$BI13)*$DB$3:$DB$42)+SUMPRODUCT(($CZ$3:$CZ$42=$BI11)*($DC$3:$DC$42=$BI13)*$DB$3:$DB$42)+SUMPRODUCT(($CZ$3:$CZ$42=$BI12)*($DC$3:$DC$42=$BI13)*$DB$3:$DB$42)</f>
        <v>0</v>
      </c>
      <c r="BN13" s="169">
        <f>SUMPRODUCT(($CZ$3:$CZ$42=$BI13)*($DC$3:$DC$42=$BI14)*$DB$3:$DB$42)+SUMPRODUCT(($CZ$3:$CZ$42=$BI13)*($DC$3:$DC$42=$BI15)*$DB$3:$DB$42)+SUMPRODUCT(($CZ$3:$CZ$42=$BI13)*($DC$3:$DC$42=$BI11)*$DB$3:$DB$42)+SUMPRODUCT(($CZ$3:$CZ$42=$BI13)*($DC$3:$DC$42=$BI12)*$DB$3:$DB$42)+SUMPRODUCT(($CZ$3:$CZ$42=$BI14)*($DC$3:$DC$42=$BI13)*$DA$3:$DA$42)+SUMPRODUCT(($CZ$3:$CZ$42=$BI15)*($DC$3:$DC$42=$BI13)*$DA$3:$DA$42)+SUMPRODUCT(($CZ$3:$CZ$42=$BI11)*($DC$3:$DC$42=$BI13)*$DA$3:$DA$42)+SUMPRODUCT(($CZ$3:$CZ$42=$BI12)*($DC$3:$DC$42=$BI13)*$DA$3:$DA$42)</f>
        <v>0</v>
      </c>
      <c r="BO13" s="169">
        <f>BM13-BN13+1000</f>
        <v>1000</v>
      </c>
      <c r="BP13" s="169" t="str">
        <f>IF(BI13&lt;&gt;"",BJ13*3+BK13*1,"")</f>
        <v/>
      </c>
      <c r="BQ13" s="169" t="str">
        <f>IF(BI13&lt;&gt;"",VLOOKUP(BI13,$B$4:$H$40,7,FALSE),"")</f>
        <v/>
      </c>
      <c r="BR13" s="169" t="str">
        <f>IF(BI13&lt;&gt;"",VLOOKUP(BI13,$B$4:$H$40,5,FALSE),"")</f>
        <v/>
      </c>
      <c r="BS13" s="169" t="str">
        <f>IF(BI13&lt;&gt;"",VLOOKUP(BI13,$B$4:$J$40,9,FALSE),"")</f>
        <v/>
      </c>
      <c r="BT13" s="169" t="str">
        <f>BP13</f>
        <v/>
      </c>
      <c r="BU13" s="169" t="str">
        <f>IF(BI13&lt;&gt;"",RANK(BT13,BT$11:BT$15),"")</f>
        <v/>
      </c>
      <c r="BV13" s="169" t="str">
        <f>IF(BI13&lt;&gt;"",SUMPRODUCT((BT$11:BT$15=BT13)*(BO$11:BO$15&gt;BO13)),"")</f>
        <v/>
      </c>
      <c r="BW13" s="169" t="str">
        <f>IF(BI13&lt;&gt;"",SUMPRODUCT((BT$11:BT$15=BT13)*(BO$11:BO$15=BO13)*(BM$11:BM$15&gt;BM13)),"")</f>
        <v/>
      </c>
      <c r="BX13" s="169" t="str">
        <f>IF(BI13&lt;&gt;"",SUMPRODUCT((BT$11:BT$15=BT13)*(BO$11:BO$15=BO13)*(BM$11:BM$15=BM13)*(BQ$11:BQ$15&gt;BQ13)),"")</f>
        <v/>
      </c>
      <c r="BY13" s="169" t="str">
        <f>IF(BI13&lt;&gt;"",SUMPRODUCT((BT$11:BT$15=BT13)*(BO$11:BO$15=BO13)*(BM$11:BM$15=BM13)*(BQ$11:BQ$15=BQ13)*(BR$11:BR$15&gt;BR13)),"")</f>
        <v/>
      </c>
      <c r="BZ13" s="169" t="str">
        <f>IF(BI13&lt;&gt;"",SUMPRODUCT((BT$11:BT$15=BT13)*(BO$11:BO$15=BO13)*(BM$11:BM$15=BM13)*(BQ$11:BQ$15=BQ13)*(BR$11:BR$15=BR13)*(BS$11:BS$15&gt;BS13)),"")</f>
        <v/>
      </c>
      <c r="CA13" s="169" t="str">
        <f>IF(BI13&lt;&gt;"",SUM(BU13:BZ13)+2,"")</f>
        <v/>
      </c>
      <c r="CB13" s="169" t="str">
        <f>IF(BI13&lt;&gt;"",INDEX(BI13:BI15,MATCH(3,CA13:CA15,0),0),"")</f>
        <v/>
      </c>
      <c r="CW13" s="169" t="str">
        <f>IF(CB13&lt;&gt;"",CB13,IF(BH13&lt;&gt;"",BH13,IF(AN13&lt;&gt;"",AN13,N13)))</f>
        <v>Slowakei</v>
      </c>
      <c r="CX13" s="169">
        <v>3</v>
      </c>
      <c r="CY13" s="169">
        <v>11</v>
      </c>
      <c r="CZ13" s="169" t="str">
        <f>Tournament!H23</f>
        <v>Österreich</v>
      </c>
      <c r="DA13" s="169">
        <f>IF(AND(Tournament!J23&lt;&gt;"",Tournament!L23&lt;&gt;""),Tournament!J23,0)</f>
        <v>0</v>
      </c>
      <c r="DB13" s="169">
        <f>IF(AND(Tournament!L23&lt;&gt;"",Tournament!J23&lt;&gt;""),Tournament!L23,0)</f>
        <v>2</v>
      </c>
      <c r="DC13" s="169" t="str">
        <f>Tournament!N23</f>
        <v>Ungarn</v>
      </c>
      <c r="DD13" s="169" t="str">
        <f>IF(AND(Tournament!J23&lt;&gt;"",Tournament!L23&lt;&gt;""),IF(DA13&gt;DB13,"W",IF(DA13=DB13,"D","L")),"")</f>
        <v>L</v>
      </c>
      <c r="DE13" s="169" t="str">
        <f t="shared" si="6"/>
        <v>W</v>
      </c>
      <c r="DH13" s="172" t="s">
        <v>22</v>
      </c>
      <c r="DI13" s="173" t="s">
        <v>9</v>
      </c>
      <c r="DJ13" s="173" t="s">
        <v>10</v>
      </c>
      <c r="DK13" s="173" t="s">
        <v>20</v>
      </c>
      <c r="DL13" s="172" t="s">
        <v>10</v>
      </c>
      <c r="DM13" s="172" t="s">
        <v>20</v>
      </c>
      <c r="DN13" s="172" t="s">
        <v>22</v>
      </c>
      <c r="DO13" s="172" t="s">
        <v>9</v>
      </c>
      <c r="DP13" s="173"/>
      <c r="DQ13" s="174">
        <f>IFERROR(IF(BG9="Y",MATCH(DQ$12,$DH13:$DK13,0),1),0)</f>
        <v>2</v>
      </c>
      <c r="DR13" s="174">
        <f t="shared" ref="DQ13:DT27" si="7">IFERROR(MATCH(DR$12,$DH13:$DK13,0),0)</f>
        <v>0</v>
      </c>
      <c r="DS13" s="174">
        <f t="shared" si="7"/>
        <v>0</v>
      </c>
      <c r="DT13" s="174">
        <f t="shared" si="7"/>
        <v>3</v>
      </c>
      <c r="DU13" s="174">
        <f t="shared" ref="DU13:DU27" si="8">SUM(DQ13:DT13)</f>
        <v>5</v>
      </c>
      <c r="DV13" s="173"/>
      <c r="DW13" s="173"/>
      <c r="DX13" s="173"/>
    </row>
    <row r="14" spans="1:128" x14ac:dyDescent="0.2">
      <c r="A14" s="169">
        <f>VLOOKUP(B14,$CW$11:$CX$15,2,FALSE)</f>
        <v>3</v>
      </c>
      <c r="B14" s="169" t="str">
        <f>'Countries and Timezone'!C14</f>
        <v>Slowakei</v>
      </c>
      <c r="C14" s="169">
        <f>SUMPRODUCT(($CZ$3:$CZ$42=$B14)*($DD$3:$DD$42="W"))+SUMPRODUCT(($DC$3:$DC$42=$B14)*($DE$3:$DE$42="W"))</f>
        <v>1</v>
      </c>
      <c r="D14" s="169">
        <f>SUMPRODUCT(($CZ$3:$CZ$42=$B14)*($DD$3:$DD$42="D"))+SUMPRODUCT(($DC$3:$DC$42=$B14)*($DE$3:$DE$42="D"))</f>
        <v>1</v>
      </c>
      <c r="E14" s="169">
        <f>SUMPRODUCT(($CZ$3:$CZ$42=$B14)*($DD$3:$DD$42="L"))+SUMPRODUCT(($DC$3:$DC$42=$B14)*($DE$3:$DE$42="L"))</f>
        <v>1</v>
      </c>
      <c r="F14" s="169">
        <f>SUMIF($CZ$3:$CZ$60,B14,$DA$3:$DA$60)+SUMIF($DC$3:$DC$60,B14,$DB$3:$DB$60)</f>
        <v>3</v>
      </c>
      <c r="G14" s="169">
        <f>SUMIF($DC$3:$DC$60,B14,$DA$3:$DA$60)+SUMIF($CZ$3:$CZ$60,B14,$DB$3:$DB$60)</f>
        <v>3</v>
      </c>
      <c r="H14" s="169">
        <f>F14-G14+1000</f>
        <v>1000</v>
      </c>
      <c r="I14" s="169">
        <f>C14*3+D14*1</f>
        <v>4</v>
      </c>
      <c r="J14" s="169">
        <v>11</v>
      </c>
      <c r="K14" s="169">
        <f>RANK(I14,I$11:I$15)</f>
        <v>3</v>
      </c>
      <c r="M14" s="169">
        <f>RANK(I14,$I$11:$I$15)+COUNTIF($I$11:I14,I14)-1</f>
        <v>3</v>
      </c>
      <c r="N14" s="169" t="str">
        <f>INDEX($B$11:$B$15,MATCH(4,$M$11:$M$15,0),0)</f>
        <v>Russland</v>
      </c>
      <c r="O14" s="169">
        <f>INDEX($K$11:$K$15,MATCH(N14,$B$11:$B$15,0),0)</f>
        <v>4</v>
      </c>
      <c r="P14" s="169" t="str">
        <f>IF(AND(P13&lt;&gt;"",O14=1),N14,"")</f>
        <v/>
      </c>
      <c r="Q14" s="169" t="str">
        <f>IF(AND(Q13&lt;&gt;"",O15=2),N15,"")</f>
        <v/>
      </c>
      <c r="U14" s="169" t="str">
        <f>IF(P14&lt;&gt;"",P14,"")</f>
        <v/>
      </c>
      <c r="V14" s="169">
        <f>SUMPRODUCT(($CZ$3:$CZ$42=$U14)*($DC$3:$DC$42=$U15)*($DD$3:$DD$42="W"))+SUMPRODUCT(($CZ$3:$CZ$42=$U14)*($DC$3:$DC$42=$U11)*($DD$3:$DD$42="W"))+SUMPRODUCT(($CZ$3:$CZ$42=$U14)*($DC$3:$DC$42=$U12)*($DD$3:$DD$42="W"))+SUMPRODUCT(($CZ$3:$CZ$42=$U14)*($DC$3:$DC$42=$U13)*($DD$3:$DD$42="W"))+SUMPRODUCT(($CZ$3:$CZ$42=$U15)*($DC$3:$DC$42=$U14)*($DE$3:$DE$42="W"))+SUMPRODUCT(($CZ$3:$CZ$42=$U11)*($DC$3:$DC$42=$U14)*($DE$3:$DE$42="W"))+SUMPRODUCT(($CZ$3:$CZ$42=$U12)*($DC$3:$DC$42=$U14)*($DE$3:$DE$42="W"))+SUMPRODUCT(($CZ$3:$CZ$42=$U13)*($DC$3:$DC$42=$U14)*($DE$3:$DE$42="W"))</f>
        <v>0</v>
      </c>
      <c r="W14" s="169">
        <f>SUMPRODUCT(($CZ$3:$CZ$42=$U14)*($DC$3:$DC$42=$U15)*($DD$3:$DD$42="D"))+SUMPRODUCT(($CZ$3:$CZ$42=$U14)*($DC$3:$DC$42=$U11)*($DD$3:$DD$42="D"))+SUMPRODUCT(($CZ$3:$CZ$42=$U14)*($DC$3:$DC$42=$U12)*($DD$3:$DD$42="D"))+SUMPRODUCT(($CZ$3:$CZ$42=$U14)*($DC$3:$DC$42=$U13)*($DD$3:$DD$42="D"))+SUMPRODUCT(($CZ$3:$CZ$42=$U15)*($DC$3:$DC$42=$U14)*($DD$3:$DD$42="D"))+SUMPRODUCT(($CZ$3:$CZ$42=$U11)*($DC$3:$DC$42=$U14)*($DD$3:$DD$42="D"))+SUMPRODUCT(($CZ$3:$CZ$42=$U12)*($DC$3:$DC$42=$U14)*($DD$3:$DD$42="D"))+SUMPRODUCT(($CZ$3:$CZ$42=$U13)*($DC$3:$DC$42=$U14)*($DD$3:$DD$42="D"))</f>
        <v>0</v>
      </c>
      <c r="X14" s="169">
        <f>SUMPRODUCT(($CZ$3:$CZ$42=$U14)*($DC$3:$DC$42=$U15)*($DD$3:$DD$42="L"))+SUMPRODUCT(($CZ$3:$CZ$42=$U14)*($DC$3:$DC$42=$U11)*($DD$3:$DD$42="L"))+SUMPRODUCT(($CZ$3:$CZ$42=$U14)*($DC$3:$DC$42=$U12)*($DD$3:$DD$42="L"))+SUMPRODUCT(($CZ$3:$CZ$42=$U14)*($DC$3:$DC$42=$U13)*($DD$3:$DD$42="L"))+SUMPRODUCT(($CZ$3:$CZ$42=$U15)*($DC$3:$DC$42=$U14)*($DE$3:$DE$42="L"))+SUMPRODUCT(($CZ$3:$CZ$42=$U11)*($DC$3:$DC$42=$U14)*($DE$3:$DE$42="L"))+SUMPRODUCT(($CZ$3:$CZ$42=$U12)*($DC$3:$DC$42=$U14)*($DE$3:$DE$42="L"))+SUMPRODUCT(($CZ$3:$CZ$42=$U13)*($DC$3:$DC$42=$U14)*($DE$3:$DE$42="L"))</f>
        <v>0</v>
      </c>
      <c r="Y14" s="169">
        <f>SUMPRODUCT(($CZ$3:$CZ$42=$U14)*($DC$3:$DC$42=$U15)*$DA$3:$DA$42)+SUMPRODUCT(($CZ$3:$CZ$42=$U14)*($DC$3:$DC$42=$U11)*$DA$3:$DA$42)+SUMPRODUCT(($CZ$3:$CZ$42=$U14)*($DC$3:$DC$42=$U12)*$DA$3:$DA$42)+SUMPRODUCT(($CZ$3:$CZ$42=$U14)*($DC$3:$DC$42=$U13)*$DA$3:$DA$42)+SUMPRODUCT(($CZ$3:$CZ$42=$U15)*($DC$3:$DC$42=$U14)*$DB$3:$DB$42)+SUMPRODUCT(($CZ$3:$CZ$42=$U11)*($DC$3:$DC$42=$U14)*$DB$3:$DB$42)+SUMPRODUCT(($CZ$3:$CZ$42=$U12)*($DC$3:$DC$42=$U14)*$DB$3:$DB$42)+SUMPRODUCT(($CZ$3:$CZ$42=$U13)*($DC$3:$DC$42=$U14)*$DB$3:$DB$42)</f>
        <v>0</v>
      </c>
      <c r="Z14" s="169">
        <f>SUMPRODUCT(($CZ$3:$CZ$42=$U14)*($DC$3:$DC$42=$U15)*$DB$3:$DB$42)+SUMPRODUCT(($CZ$3:$CZ$42=$U14)*($DC$3:$DC$42=$U11)*$DB$3:$DB$42)+SUMPRODUCT(($CZ$3:$CZ$42=$U14)*($DC$3:$DC$42=$U12)*$DB$3:$DB$42)+SUMPRODUCT(($CZ$3:$CZ$42=$U14)*($DC$3:$DC$42=$U13)*$DB$3:$DB$42)+SUMPRODUCT(($CZ$3:$CZ$42=$U15)*($DC$3:$DC$42=$U14)*$DA$3:$DA$42)+SUMPRODUCT(($CZ$3:$CZ$42=$U11)*($DC$3:$DC$42=$U14)*$DA$3:$DA$42)+SUMPRODUCT(($CZ$3:$CZ$42=$U12)*($DC$3:$DC$42=$U14)*$DA$3:$DA$42)+SUMPRODUCT(($CZ$3:$CZ$42=$U13)*($DC$3:$DC$42=$U14)*$DA$3:$DA$42)</f>
        <v>0</v>
      </c>
      <c r="AA14" s="169">
        <f>Y14-Z14+1000</f>
        <v>1000</v>
      </c>
      <c r="AB14" s="169" t="str">
        <f>IF(U14&lt;&gt;"",V14*3+W14*1,"")</f>
        <v/>
      </c>
      <c r="AC14" s="169" t="str">
        <f>IF(U14&lt;&gt;"",VLOOKUP(U14,$B$4:$H$40,7,FALSE),"")</f>
        <v/>
      </c>
      <c r="AD14" s="169" t="str">
        <f>IF(U14&lt;&gt;"",VLOOKUP(U14,$B$4:$H$40,5,FALSE),"")</f>
        <v/>
      </c>
      <c r="AE14" s="169" t="str">
        <f>IF(U14&lt;&gt;"",VLOOKUP(U14,$B$4:$J$40,9,FALSE),"")</f>
        <v/>
      </c>
      <c r="AF14" s="169" t="str">
        <f>AB14</f>
        <v/>
      </c>
      <c r="AG14" s="169" t="str">
        <f>IF(U14&lt;&gt;"",RANK(AF14,AF$11:AF$15),"")</f>
        <v/>
      </c>
      <c r="AH14" s="169" t="str">
        <f>IF(U14&lt;&gt;"",SUMPRODUCT((AF$11:AF$15=AF14)*(AA$11:AA$15&gt;AA14)),"")</f>
        <v/>
      </c>
      <c r="AI14" s="169" t="str">
        <f>IF(U14&lt;&gt;"",SUMPRODUCT((AF$11:AF$15=AF14)*(AA$11:AA$15=AA14)*(Y$11:Y$15&gt;Y14)),"")</f>
        <v/>
      </c>
      <c r="AJ14" s="169" t="str">
        <f>IF(U14&lt;&gt;"",SUMPRODUCT((AF$11:AF$15=AF14)*(AA$11:AA$15=AA14)*(Y$11:Y$15=Y14)*(AC$11:AC$15&gt;AC14)),"")</f>
        <v/>
      </c>
      <c r="AK14" s="169" t="str">
        <f>IF(U14&lt;&gt;"",SUMPRODUCT((AF$11:AF$15=AF14)*(AA$11:AA$15=AA14)*(Y$11:Y$15=Y14)*(AC$11:AC$15=AC14)*(AD$11:AD$15&gt;AD14)),"")</f>
        <v/>
      </c>
      <c r="AL14" s="169" t="str">
        <f>IF(U14&lt;&gt;"",SUMPRODUCT((AF$11:AF$15=AF14)*(AA$11:AA$15=AA14)*(Y$11:Y$15=Y14)*(AC$11:AC$15=AC14)*(AD$11:AD$15=AD14)*(AE$11:AE$15&gt;AE14)),"")</f>
        <v/>
      </c>
      <c r="AM14" s="169" t="str">
        <f>IF(U14&lt;&gt;"",SUM(AG14:AL14),"")</f>
        <v/>
      </c>
      <c r="AN14" s="169" t="str">
        <f>IF(U14&lt;&gt;"",INDEX($U$11:$U$15,MATCH(4,$AM$11:$AM$15,0),0),"")</f>
        <v/>
      </c>
      <c r="AO14" s="169" t="str">
        <f>IF(Q13&lt;&gt;"",Q13,"")</f>
        <v/>
      </c>
      <c r="AP14" s="169" t="str">
        <f>IF($AO14&lt;&gt;"",SUMPRODUCT(($CZ$3:$CZ$42=$AO14)*($DC$3:$DC$42=$AO15)*($DD$3:$DD$42="W"))+SUMPRODUCT(($CZ$3:$CZ$42=$AO14)*($DC$3:$DC$42=$AO12)*($DD$3:$DD$42="W"))+SUMPRODUCT(($CZ$3:$CZ$42=$AO14)*($DC$3:$DC$42=$AO13)*($DD$3:$DD$42="W"))+SUMPRODUCT(($CZ$3:$CZ$42=$AO15)*($DC$3:$DC$42=$AO14)*($DE$3:$DE$42="W"))+SUMPRODUCT(($CZ$3:$CZ$42=$AO12)*($DC$3:$DC$42=$AO14)*($DE$3:$DE$42="W"))+SUMPRODUCT(($CZ$3:$CZ$42=$AO13)*($DC$3:$DC$42=$AO14)*($DE$3:$DE$42="W")),"")</f>
        <v/>
      </c>
      <c r="AQ14" s="169" t="str">
        <f>IF($AO14&lt;&gt;"",SUMPRODUCT(($CZ$3:$CZ$42=$AO14)*($DC$3:$DC$42=$AO15)*($DD$3:$DD$42="D"))+SUMPRODUCT(($CZ$3:$CZ$42=$AO14)*($DC$3:$DC$42=$AO12)*($DD$3:$DD$42="D"))+SUMPRODUCT(($CZ$3:$CZ$42=$AO14)*($DC$3:$DC$42=$AO13)*($DD$3:$DD$42="D"))+SUMPRODUCT(($CZ$3:$CZ$42=$AO15)*($DC$3:$DC$42=$AO14)*($DD$3:$DD$42="D"))+SUMPRODUCT(($CZ$3:$CZ$42=$AO12)*($DC$3:$DC$42=$AO14)*($DD$3:$DD$42="D"))+SUMPRODUCT(($CZ$3:$CZ$42=$AO13)*($DC$3:$DC$42=$AO14)*($DD$3:$DD$42="D")),"")</f>
        <v/>
      </c>
      <c r="AR14" s="169" t="str">
        <f>IF($AO14&lt;&gt;"",SUMPRODUCT(($CZ$3:$CZ$42=$AO14)*($DC$3:$DC$42=$AO15)*($DD$3:$DD$42="L"))+SUMPRODUCT(($CZ$3:$CZ$42=$AO14)*($DC$3:$DC$42=$AO12)*($DD$3:$DD$42="L"))+SUMPRODUCT(($CZ$3:$CZ$42=$AO14)*($DC$3:$DC$42=$AO13)*($DD$3:$DD$42="L"))+SUMPRODUCT(($CZ$3:$CZ$42=$AO15)*($DC$3:$DC$42=$AO14)*($DE$3:$DE$42="L"))+SUMPRODUCT(($CZ$3:$CZ$42=$AO12)*($DC$3:$DC$42=$AO14)*($DE$3:$DE$42="L"))+SUMPRODUCT(($CZ$3:$CZ$42=$AO13)*($DC$3:$DC$42=$AO14)*($DE$3:$DE$42="L")),"")</f>
        <v/>
      </c>
      <c r="AS14" s="169">
        <f>SUMPRODUCT(($CZ$3:$CZ$42=$AO14)*($DC$3:$DC$42=$AO15)*$DA$3:$DA$42)+SUMPRODUCT(($CZ$3:$CZ$42=$AO14)*($DC$3:$DC$42=$AO11)*$DA$3:$DA$42)+SUMPRODUCT(($CZ$3:$CZ$42=$AO14)*($DC$3:$DC$42=$AO12)*$DA$3:$DA$42)+SUMPRODUCT(($CZ$3:$CZ$42=$AO14)*($DC$3:$DC$42=$AO13)*$DA$3:$DA$42)+SUMPRODUCT(($CZ$3:$CZ$42=$AO15)*($DC$3:$DC$42=$AO14)*$DB$3:$DB$42)+SUMPRODUCT(($CZ$3:$CZ$42=$AO11)*($DC$3:$DC$42=$AO14)*$DB$3:$DB$42)+SUMPRODUCT(($CZ$3:$CZ$42=$AO12)*($DC$3:$DC$42=$AO14)*$DB$3:$DB$42)+SUMPRODUCT(($CZ$3:$CZ$42=$AO13)*($DC$3:$DC$42=$AO14)*$DB$3:$DB$42)</f>
        <v>0</v>
      </c>
      <c r="AT14" s="169">
        <f>SUMPRODUCT(($CZ$3:$CZ$42=$AO14)*($DC$3:$DC$42=$AO15)*$DB$3:$DB$42)+SUMPRODUCT(($CZ$3:$CZ$42=$AO14)*($DC$3:$DC$42=$AO11)*$DB$3:$DB$42)+SUMPRODUCT(($CZ$3:$CZ$42=$AO14)*($DC$3:$DC$42=$AO12)*$DB$3:$DB$42)+SUMPRODUCT(($CZ$3:$CZ$42=$AO14)*($DC$3:$DC$42=$AO13)*$DB$3:$DB$42)+SUMPRODUCT(($CZ$3:$CZ$42=$AO15)*($DC$3:$DC$42=$AO14)*$DA$3:$DA$42)+SUMPRODUCT(($CZ$3:$CZ$42=$AO11)*($DC$3:$DC$42=$AO14)*$DA$3:$DA$42)+SUMPRODUCT(($CZ$3:$CZ$42=$AO12)*($DC$3:$DC$42=$AO14)*$DA$3:$DA$42)+SUMPRODUCT(($CZ$3:$CZ$42=$AO13)*($DC$3:$DC$42=$AO14)*$DA$3:$DA$42)</f>
        <v>0</v>
      </c>
      <c r="AU14" s="169">
        <f>AS14-AT14+1000</f>
        <v>1000</v>
      </c>
      <c r="AV14" s="169" t="str">
        <f>IF(AO14&lt;&gt;"",AP14*3+AQ14*1,"")</f>
        <v/>
      </c>
      <c r="AW14" s="169" t="str">
        <f>IF(AO14&lt;&gt;"",VLOOKUP(AO14,$B$4:$H$40,7,FALSE),"")</f>
        <v/>
      </c>
      <c r="AX14" s="169" t="str">
        <f>IF(AO14&lt;&gt;"",VLOOKUP(AO14,$B$4:$H$40,5,FALSE),"")</f>
        <v/>
      </c>
      <c r="AY14" s="169" t="str">
        <f>IF(AO14&lt;&gt;"",VLOOKUP(AO14,$B$4:$J$40,9,FALSE),"")</f>
        <v/>
      </c>
      <c r="AZ14" s="169" t="str">
        <f>AV14</f>
        <v/>
      </c>
      <c r="BA14" s="169" t="str">
        <f>IF(AO14&lt;&gt;"",RANK(AZ14,AZ$11:AZ$15),"")</f>
        <v/>
      </c>
      <c r="BB14" s="169" t="str">
        <f>IF(AO14&lt;&gt;"",SUMPRODUCT((AZ$11:AZ$15=AZ14)*(AU$11:AU$15&gt;AU14)),"")</f>
        <v/>
      </c>
      <c r="BC14" s="169" t="str">
        <f>IF(AO14&lt;&gt;"",SUMPRODUCT((AZ$11:AZ$15=AZ14)*(AU$11:AU$15=AU14)*(AS$11:AS$15&gt;AS14)),"")</f>
        <v/>
      </c>
      <c r="BD14" s="169" t="str">
        <f>IF(AO14&lt;&gt;"",SUMPRODUCT((AZ$11:AZ$15=AZ14)*(AU$11:AU$15=AU14)*(AS$11:AS$15=AS14)*(AW$11:AW$15&gt;AW14)),"")</f>
        <v/>
      </c>
      <c r="BE14" s="169" t="str">
        <f>IF(AO14&lt;&gt;"",SUMPRODUCT((AZ$11:AZ$15=AZ14)*(AU$11:AU$15=AU14)*(AS$11:AS$15=AS14)*(AW$11:AW$15=AW14)*(AX$11:AX$15&gt;AX14)),"")</f>
        <v/>
      </c>
      <c r="BF14" s="169" t="str">
        <f>IF(AO14&lt;&gt;"",SUMPRODUCT((AZ$11:AZ$15=AZ14)*(AU$11:AU$15=AU14)*(AS$11:AS$15=AS14)*(AW$11:AW$15=AW14)*(AX$11:AX$15=AX14)*(AY$11:AY$15&gt;AY14)),"")</f>
        <v/>
      </c>
      <c r="BG14" s="169" t="str">
        <f>IF(AO14&lt;&gt;"",SUM(BA14:BF14)+1,"")</f>
        <v/>
      </c>
      <c r="BH14" s="169" t="str">
        <f>IF(AO14&lt;&gt;"",INDEX(AO12:AO15,MATCH(4,BG12:BG15,0),0),"")</f>
        <v/>
      </c>
      <c r="BI14" s="169" t="str">
        <f>IF(R12&lt;&gt;"",R12,"")</f>
        <v/>
      </c>
      <c r="BJ14" s="169">
        <f>SUMPRODUCT(($CZ$3:$CZ$42=$BI14)*($DC$3:$DC$42=$BI15)*($DD$3:$DD$42="W"))+SUMPRODUCT(($CZ$3:$CZ$42=$BI14)*($DC$3:$DC$42=$BI16)*($DD$3:$DD$42="W"))+SUMPRODUCT(($CZ$3:$CZ$42=$BI14)*($DC$3:$DC$42=$BI13)*($DD$3:$DD$42="W"))+SUMPRODUCT(($CZ$3:$CZ$42=$BI15)*($DC$3:$DC$42=$BI14)*($DE$3:$DE$42="W"))+SUMPRODUCT(($CZ$3:$CZ$42=$BI16)*($DC$3:$DC$42=$BI14)*($DE$3:$DE$42="W"))+SUMPRODUCT(($CZ$3:$CZ$42=$BI13)*($DC$3:$DC$42=$BI14)*($DE$3:$DE$42="W"))</f>
        <v>0</v>
      </c>
      <c r="BK14" s="169">
        <f>SUMPRODUCT(($CZ$3:$CZ$42=$BI14)*($DC$3:$DC$42=$BI15)*($DD$3:$DD$42="D"))+SUMPRODUCT(($CZ$3:$CZ$42=$BI14)*($DC$3:$DC$42=$BI16)*($DD$3:$DD$42="D"))+SUMPRODUCT(($CZ$3:$CZ$42=$BI14)*($DC$3:$DC$42=$BI13)*($DD$3:$DD$42="D"))+SUMPRODUCT(($CZ$3:$CZ$42=$BI15)*($DC$3:$DC$42=$BI14)*($DD$3:$DD$42="D"))+SUMPRODUCT(($CZ$3:$CZ$42=$BI16)*($DC$3:$DC$42=$BI14)*($DD$3:$DD$42="D"))+SUMPRODUCT(($CZ$3:$CZ$42=$BI13)*($DC$3:$DC$42=$BI14)*($DD$3:$DD$42="D"))</f>
        <v>0</v>
      </c>
      <c r="BL14" s="169">
        <f>SUMPRODUCT(($CZ$3:$CZ$42=$BI14)*($DC$3:$DC$42=$BI15)*($DD$3:$DD$42="L"))+SUMPRODUCT(($CZ$3:$CZ$42=$BI14)*($DC$3:$DC$42=$BI16)*($DD$3:$DD$42="L"))+SUMPRODUCT(($CZ$3:$CZ$42=$BI14)*($DC$3:$DC$42=$BI13)*($DD$3:$DD$42="L"))+SUMPRODUCT(($CZ$3:$CZ$42=$BI15)*($DC$3:$DC$42=$BI14)*($DE$3:$DE$42="L"))+SUMPRODUCT(($CZ$3:$CZ$42=$BI16)*($DC$3:$DC$42=$BI14)*($DE$3:$DE$42="L"))+SUMPRODUCT(($CZ$3:$CZ$42=$BI13)*($DC$3:$DC$42=$BI14)*($DE$3:$DE$42="L"))</f>
        <v>0</v>
      </c>
      <c r="BM14" s="169">
        <f>SUMPRODUCT(($CZ$3:$CZ$42=$BI14)*($DC$3:$DC$42=$BI15)*$DA$3:$DA$42)+SUMPRODUCT(($CZ$3:$CZ$42=$BI14)*($DC$3:$DC$42=$BI11)*$DA$3:$DA$42)+SUMPRODUCT(($CZ$3:$CZ$42=$BI14)*($DC$3:$DC$42=$BI12)*$DA$3:$DA$42)+SUMPRODUCT(($CZ$3:$CZ$42=$BI14)*($DC$3:$DC$42=$BI13)*$DA$3:$DA$42)+SUMPRODUCT(($CZ$3:$CZ$42=$BI15)*($DC$3:$DC$42=$BI14)*$DB$3:$DB$42)+SUMPRODUCT(($CZ$3:$CZ$42=$BI11)*($DC$3:$DC$42=$BI14)*$DB$3:$DB$42)+SUMPRODUCT(($CZ$3:$CZ$42=$BI12)*($DC$3:$DC$42=$BI14)*$DB$3:$DB$42)+SUMPRODUCT(($CZ$3:$CZ$42=$BI13)*($DC$3:$DC$42=$BI14)*$DB$3:$DB$42)</f>
        <v>0</v>
      </c>
      <c r="BN14" s="169">
        <f>SUMPRODUCT(($CZ$3:$CZ$42=$BI14)*($DC$3:$DC$42=$BI15)*$DB$3:$DB$42)+SUMPRODUCT(($CZ$3:$CZ$42=$BI14)*($DC$3:$DC$42=$BI11)*$DB$3:$DB$42)+SUMPRODUCT(($CZ$3:$CZ$42=$BI14)*($DC$3:$DC$42=$BI12)*$DB$3:$DB$42)+SUMPRODUCT(($CZ$3:$CZ$42=$BI14)*($DC$3:$DC$42=$BI13)*$DB$3:$DB$42)+SUMPRODUCT(($CZ$3:$CZ$42=$BI15)*($DC$3:$DC$42=$BI14)*$DA$3:$DA$42)+SUMPRODUCT(($CZ$3:$CZ$42=$BI11)*($DC$3:$DC$42=$BI14)*$DA$3:$DA$42)+SUMPRODUCT(($CZ$3:$CZ$42=$BI12)*($DC$3:$DC$42=$BI14)*$DA$3:$DA$42)+SUMPRODUCT(($CZ$3:$CZ$42=$BI13)*($DC$3:$DC$42=$BI14)*$DA$3:$DA$42)</f>
        <v>0</v>
      </c>
      <c r="BO14" s="169">
        <f>BM14-BN14+1000</f>
        <v>1000</v>
      </c>
      <c r="BP14" s="169" t="str">
        <f>IF(BI14&lt;&gt;"",BJ14*3+BK14*1,"")</f>
        <v/>
      </c>
      <c r="BQ14" s="169" t="str">
        <f>IF(BI14&lt;&gt;"",VLOOKUP(BI14,$B$4:$H$40,7,FALSE),"")</f>
        <v/>
      </c>
      <c r="BR14" s="169" t="str">
        <f>IF(BI14&lt;&gt;"",VLOOKUP(BI14,$B$4:$H$40,5,FALSE),"")</f>
        <v/>
      </c>
      <c r="BS14" s="169" t="str">
        <f>IF(BI14&lt;&gt;"",VLOOKUP(BI14,$B$4:$J$40,9,FALSE),"")</f>
        <v/>
      </c>
      <c r="BT14" s="169" t="str">
        <f>BP14</f>
        <v/>
      </c>
      <c r="BU14" s="169" t="str">
        <f>IF(BI14&lt;&gt;"",RANK(BT14,BT$11:BT$15),"")</f>
        <v/>
      </c>
      <c r="BV14" s="169" t="str">
        <f>IF(BI14&lt;&gt;"",SUMPRODUCT((BT$11:BT$15=BT14)*(BO$11:BO$15&gt;BO14)),"")</f>
        <v/>
      </c>
      <c r="BW14" s="169" t="str">
        <f>IF(BI14&lt;&gt;"",SUMPRODUCT((BT$11:BT$15=BT14)*(BO$11:BO$15=BO14)*(BM$11:BM$15&gt;BM14)),"")</f>
        <v/>
      </c>
      <c r="BX14" s="169" t="str">
        <f>IF(BI14&lt;&gt;"",SUMPRODUCT((BT$11:BT$15=BT14)*(BO$11:BO$15=BO14)*(BM$11:BM$15=BM14)*(BQ$11:BQ$15&gt;BQ14)),"")</f>
        <v/>
      </c>
      <c r="BY14" s="169" t="str">
        <f>IF(BI14&lt;&gt;"",SUMPRODUCT((BT$11:BT$15=BT14)*(BO$11:BO$15=BO14)*(BM$11:BM$15=BM14)*(BQ$11:BQ$15=BQ14)*(BR$11:BR$15&gt;BR14)),"")</f>
        <v/>
      </c>
      <c r="BZ14" s="169" t="str">
        <f>IF(BI14&lt;&gt;"",SUMPRODUCT((BT$11:BT$15=BT14)*(BO$11:BO$15=BO14)*(BM$11:BM$15=BM14)*(BQ$11:BQ$15=BQ14)*(BR$11:BR$15=BR14)*(BS$11:BS$15&gt;BS14)),"")</f>
        <v/>
      </c>
      <c r="CA14" s="169" t="str">
        <f>IF(BI14&lt;&gt;"",SUM(BU14:BZ14)+2,"")</f>
        <v/>
      </c>
      <c r="CB14" s="169" t="str">
        <f>IF(BI14&lt;&gt;"",INDEX(BI13:BI15,MATCH(4,CA13:CA15,0),0),"")</f>
        <v/>
      </c>
      <c r="CC14" s="169" t="str">
        <f>IF(S11&lt;&gt;"",S11,"")</f>
        <v/>
      </c>
      <c r="CD14" s="169">
        <f>SUMPRODUCT(($CZ$3:$CZ$42=$CC14)*($DC$3:$DC$42=$CC15)*($DD$3:$DD$42="W"))+SUMPRODUCT(($CZ$3:$CZ$42=$CC14)*($DC$3:$DC$42=$CC16)*($DD$3:$DD$42="W"))+SUMPRODUCT(($CZ$3:$CZ$42=$CC14)*($DC$3:$DC$42=$CC17)*($DD$3:$DD$42="W"))+SUMPRODUCT(($CZ$3:$CZ$42=$CC15)*($DC$3:$DC$42=$CC14)*($DE$3:$DE$42="W"))+SUMPRODUCT(($CZ$3:$CZ$42=$CC16)*($DC$3:$DC$42=$CC14)*($DE$3:$DE$42="W"))+SUMPRODUCT(($CZ$3:$CZ$42=$CC17)*($DC$3:$DC$42=$CC14)*($DE$3:$DE$42="W"))</f>
        <v>0</v>
      </c>
      <c r="CE14" s="169">
        <f>SUMPRODUCT(($CZ$3:$CZ$42=$CC14)*($DC$3:$DC$42=$CC15)*($DD$3:$DD$42="D"))+SUMPRODUCT(($CZ$3:$CZ$42=$CC14)*($DC$3:$DC$42=$CC16)*($DD$3:$DD$42="D"))+SUMPRODUCT(($CZ$3:$CZ$42=$CC14)*($DC$3:$DC$42=$CC17)*($DD$3:$DD$42="D"))+SUMPRODUCT(($CZ$3:$CZ$42=$CC15)*($DC$3:$DC$42=$CC14)*($DD$3:$DD$42="D"))+SUMPRODUCT(($CZ$3:$CZ$42=$CC16)*($DC$3:$DC$42=$CC14)*($DD$3:$DD$42="D"))+SUMPRODUCT(($CZ$3:$CZ$42=$CC17)*($DC$3:$DC$42=$CC14)*($DD$3:$DD$42="D"))</f>
        <v>0</v>
      </c>
      <c r="CF14" s="169">
        <f>SUMPRODUCT(($CZ$3:$CZ$42=$CC14)*($DC$3:$DC$42=$CC15)*($DD$3:$DD$42="L"))+SUMPRODUCT(($CZ$3:$CZ$42=$CC14)*($DC$3:$DC$42=$CC16)*($DD$3:$DD$42="L"))+SUMPRODUCT(($CZ$3:$CZ$42=$CC14)*($DC$3:$DC$42=$CC17)*($DD$3:$DD$42="L"))+SUMPRODUCT(($CZ$3:$CZ$42=$CC15)*($DC$3:$DC$42=$CC14)*($DE$3:$DE$42="L"))+SUMPRODUCT(($CZ$3:$CZ$42=$CC16)*($DC$3:$DC$42=$CC14)*($DE$3:$DE$42="L"))+SUMPRODUCT(($CZ$3:$CZ$42=$CC17)*($DC$3:$DC$42=$CC14)*($DE$3:$DE$42="L"))</f>
        <v>0</v>
      </c>
      <c r="CG14" s="169">
        <f>SUMPRODUCT(($CZ$3:$CZ$42=$CC14)*($DC$3:$DC$42=$CC15)*$DA$3:$DA$42)+SUMPRODUCT(($CZ$3:$CZ$42=$CC14)*($DC$3:$DC$42=$CC11)*$DA$3:$DA$42)+SUMPRODUCT(($CZ$3:$CZ$42=$CC14)*($DC$3:$DC$42=$CC12)*$DA$3:$DA$42)+SUMPRODUCT(($CZ$3:$CZ$42=$CC14)*($DC$3:$DC$42=$CC13)*$DA$3:$DA$42)+SUMPRODUCT(($CZ$3:$CZ$42=$CC15)*($DC$3:$DC$42=$CC14)*$DB$3:$DB$42)+SUMPRODUCT(($CZ$3:$CZ$42=$CC11)*($DC$3:$DC$42=$CC14)*$DB$3:$DB$42)+SUMPRODUCT(($CZ$3:$CZ$42=$CC12)*($DC$3:$DC$42=$CC14)*$DB$3:$DB$42)+SUMPRODUCT(($CZ$3:$CZ$42=$CC13)*($DC$3:$DC$42=$CC14)*$DB$3:$DB$42)</f>
        <v>0</v>
      </c>
      <c r="CH14" s="169">
        <f>SUMPRODUCT(($CZ$3:$CZ$42=$CC14)*($DC$3:$DC$42=$CC15)*$DB$3:$DB$42)+SUMPRODUCT(($CZ$3:$CZ$42=$CC14)*($DC$3:$DC$42=$CC11)*$DB$3:$DB$42)+SUMPRODUCT(($CZ$3:$CZ$42=$CC14)*($DC$3:$DC$42=$CC12)*$DB$3:$DB$42)+SUMPRODUCT(($CZ$3:$CZ$42=$CC14)*($DC$3:$DC$42=$CC13)*$DB$3:$DB$42)+SUMPRODUCT(($CZ$3:$CZ$42=$CC15)*($DC$3:$DC$42=$CC14)*$DA$3:$DA$42)+SUMPRODUCT(($CZ$3:$CZ$42=$CC11)*($DC$3:$DC$42=$CC14)*$DA$3:$DA$42)+SUMPRODUCT(($CZ$3:$CZ$42=$CC12)*($DC$3:$DC$42=$CC14)*$DA$3:$DA$42)+SUMPRODUCT(($CZ$3:$CZ$42=$CC13)*($DC$3:$DC$42=$CC14)*$DA$3:$DA$42)</f>
        <v>0</v>
      </c>
      <c r="CI14" s="169">
        <f>CG14-CH14+1000</f>
        <v>1000</v>
      </c>
      <c r="CJ14" s="169" t="str">
        <f>IF(CC14&lt;&gt;"",CD14*3+CE14*1,"")</f>
        <v/>
      </c>
      <c r="CK14" s="169" t="str">
        <f>IF(CC14&lt;&gt;"",VLOOKUP(CC14,$B$4:$H$40,7,FALSE),"")</f>
        <v/>
      </c>
      <c r="CL14" s="169" t="str">
        <f>IF(CC14&lt;&gt;"",VLOOKUP(CC14,$B$4:$H$40,5,FALSE),"")</f>
        <v/>
      </c>
      <c r="CM14" s="169" t="str">
        <f>IF(CC14&lt;&gt;"",VLOOKUP(CC14,$B$4:$J$40,9,FALSE),"")</f>
        <v/>
      </c>
      <c r="CN14" s="169" t="str">
        <f>CJ14</f>
        <v/>
      </c>
      <c r="CO14" s="169" t="str">
        <f>IF(CC14&lt;&gt;"",RANK(CN14,CN$11:CN$15),"")</f>
        <v/>
      </c>
      <c r="CP14" s="169" t="str">
        <f>IF(CC14&lt;&gt;"",SUMPRODUCT((CN$11:CN$15=CN14)*(CI$11:CI$15&gt;CI14)),"")</f>
        <v/>
      </c>
      <c r="CQ14" s="169" t="str">
        <f>IF(CC14&lt;&gt;"",SUMPRODUCT((CN$11:CN$15=CN14)*(CI$11:CI$15=CI14)*(CG$11:CG$15&gt;CG14)),"")</f>
        <v/>
      </c>
      <c r="CR14" s="169" t="str">
        <f>IF(CC14&lt;&gt;"",SUMPRODUCT((CN$11:CN$15=CN14)*(CI$11:CI$15=CI14)*(CG$11:CG$15=CG14)*(CK$11:CK$15&gt;CK14)),"")</f>
        <v/>
      </c>
      <c r="CS14" s="169" t="str">
        <f>IF(CC14&lt;&gt;"",SUMPRODUCT((CN$11:CN$15=CN14)*(CI$11:CI$15=CI14)*(CG$11:CG$15=CG14)*(CK$11:CK$15=CK14)*(CL$11:CL$15&gt;CL14)),"")</f>
        <v/>
      </c>
      <c r="CT14" s="169" t="str">
        <f>IF(CC14&lt;&gt;"",SUMPRODUCT((CN$11:CN$15=CN14)*(CI$11:CI$15=CI14)*(CG$11:CG$15=CG14)*(CK$11:CK$15=CK14)*(CL$11:CL$15=CL14)*(CM$11:CM$15&gt;CM14)),"")</f>
        <v/>
      </c>
      <c r="CU14" s="169" t="str">
        <f>IF(CC14&lt;&gt;"",SUM(CO14:CT14)+3,"")</f>
        <v/>
      </c>
      <c r="CV14" s="169" t="str">
        <f>IF(CC14&lt;&gt;"",IF(CU14=4,CC14,CC15),"")</f>
        <v/>
      </c>
      <c r="CW14" s="169" t="str">
        <f>IF(CV14&lt;&gt;"",CV14,IF(CB14&lt;&gt;"",CB14,IF(BH14&lt;&gt;"",BH14,IF(AN14&lt;&gt;"",AN14,N14))))</f>
        <v>Russland</v>
      </c>
      <c r="CX14" s="169">
        <v>4</v>
      </c>
      <c r="CY14" s="169">
        <v>12</v>
      </c>
      <c r="CZ14" s="169" t="str">
        <f>Tournament!H24</f>
        <v>Portugal</v>
      </c>
      <c r="DA14" s="169">
        <f>IF(AND(Tournament!J24&lt;&gt;"",Tournament!L24&lt;&gt;""),Tournament!J24,0)</f>
        <v>1</v>
      </c>
      <c r="DB14" s="169">
        <f>IF(AND(Tournament!L24&lt;&gt;"",Tournament!J24&lt;&gt;""),Tournament!L24,0)</f>
        <v>1</v>
      </c>
      <c r="DC14" s="169" t="str">
        <f>Tournament!N24</f>
        <v>Island</v>
      </c>
      <c r="DD14" s="169" t="str">
        <f>IF(AND(Tournament!J24&lt;&gt;"",Tournament!L24&lt;&gt;""),IF(DA14&gt;DB14,"W",IF(DA14=DB14,"D","L")),"")</f>
        <v>D</v>
      </c>
      <c r="DE14" s="169" t="str">
        <f t="shared" si="6"/>
        <v>D</v>
      </c>
      <c r="DH14" s="172" t="s">
        <v>22</v>
      </c>
      <c r="DI14" s="173" t="s">
        <v>9</v>
      </c>
      <c r="DJ14" s="173" t="s">
        <v>10</v>
      </c>
      <c r="DK14" s="173" t="s">
        <v>211</v>
      </c>
      <c r="DL14" s="172" t="s">
        <v>10</v>
      </c>
      <c r="DM14" s="172" t="s">
        <v>22</v>
      </c>
      <c r="DN14" s="172" t="s">
        <v>9</v>
      </c>
      <c r="DO14" s="172" t="s">
        <v>211</v>
      </c>
      <c r="DP14" s="173"/>
      <c r="DQ14" s="174">
        <f t="shared" si="7"/>
        <v>2</v>
      </c>
      <c r="DR14" s="174">
        <f t="shared" si="7"/>
        <v>4</v>
      </c>
      <c r="DS14" s="174">
        <f t="shared" si="7"/>
        <v>0</v>
      </c>
      <c r="DT14" s="174">
        <f t="shared" si="7"/>
        <v>3</v>
      </c>
      <c r="DU14" s="174">
        <f t="shared" si="8"/>
        <v>9</v>
      </c>
      <c r="DV14" s="173"/>
      <c r="DW14" s="173"/>
      <c r="DX14" s="173"/>
    </row>
    <row r="15" spans="1:128" x14ac:dyDescent="0.2">
      <c r="CY15" s="169">
        <v>13</v>
      </c>
      <c r="CZ15" s="169" t="str">
        <f>Tournament!H25</f>
        <v>Russland</v>
      </c>
      <c r="DA15" s="169">
        <f>IF(AND(Tournament!J25&lt;&gt;"",Tournament!L25&lt;&gt;""),Tournament!J25,0)</f>
        <v>1</v>
      </c>
      <c r="DB15" s="169">
        <f>IF(AND(Tournament!L25&lt;&gt;"",Tournament!J25&lt;&gt;""),Tournament!L25,0)</f>
        <v>2</v>
      </c>
      <c r="DC15" s="169" t="str">
        <f>Tournament!N25</f>
        <v>Slowakei</v>
      </c>
      <c r="DD15" s="169" t="str">
        <f>IF(AND(Tournament!J25&lt;&gt;"",Tournament!L25&lt;&gt;""),IF(DA15&gt;DB15,"W",IF(DA15=DB15,"D","L")),"")</f>
        <v>L</v>
      </c>
      <c r="DE15" s="169" t="str">
        <f t="shared" si="6"/>
        <v>W</v>
      </c>
      <c r="DH15" s="172" t="s">
        <v>22</v>
      </c>
      <c r="DI15" s="173" t="s">
        <v>9</v>
      </c>
      <c r="DJ15" s="173" t="s">
        <v>10</v>
      </c>
      <c r="DK15" s="173" t="s">
        <v>219</v>
      </c>
      <c r="DL15" s="172" t="s">
        <v>10</v>
      </c>
      <c r="DM15" s="172" t="s">
        <v>22</v>
      </c>
      <c r="DN15" s="172" t="s">
        <v>9</v>
      </c>
      <c r="DO15" s="172" t="s">
        <v>219</v>
      </c>
      <c r="DP15" s="173"/>
      <c r="DQ15" s="174">
        <f t="shared" si="7"/>
        <v>2</v>
      </c>
      <c r="DR15" s="174">
        <f t="shared" si="7"/>
        <v>0</v>
      </c>
      <c r="DS15" s="174">
        <f t="shared" si="7"/>
        <v>4</v>
      </c>
      <c r="DT15" s="174">
        <f t="shared" si="7"/>
        <v>3</v>
      </c>
      <c r="DU15" s="174">
        <f t="shared" si="8"/>
        <v>9</v>
      </c>
      <c r="DV15" s="173"/>
      <c r="DW15" s="173"/>
      <c r="DX15" s="173"/>
    </row>
    <row r="16" spans="1:128" x14ac:dyDescent="0.2">
      <c r="CY16" s="169">
        <v>14</v>
      </c>
      <c r="CZ16" s="169" t="str">
        <f>Tournament!H26</f>
        <v>Rumänien</v>
      </c>
      <c r="DA16" s="169">
        <f>IF(AND(Tournament!J26&lt;&gt;"",Tournament!L26&lt;&gt;""),Tournament!J26,0)</f>
        <v>1</v>
      </c>
      <c r="DB16" s="169">
        <f>IF(AND(Tournament!L26&lt;&gt;"",Tournament!J26&lt;&gt;""),Tournament!L26,0)</f>
        <v>1</v>
      </c>
      <c r="DC16" s="169" t="str">
        <f>Tournament!N26</f>
        <v>Schweiz</v>
      </c>
      <c r="DD16" s="169" t="str">
        <f>IF(AND(Tournament!J26&lt;&gt;"",Tournament!L26&lt;&gt;""),IF(DA16&gt;DB16,"W",IF(DA16=DB16,"D","L")),"")</f>
        <v>D</v>
      </c>
      <c r="DE16" s="169" t="str">
        <f t="shared" si="6"/>
        <v>D</v>
      </c>
      <c r="DH16" s="172" t="s">
        <v>22</v>
      </c>
      <c r="DI16" s="173" t="s">
        <v>9</v>
      </c>
      <c r="DJ16" s="173" t="s">
        <v>20</v>
      </c>
      <c r="DK16" s="173" t="s">
        <v>211</v>
      </c>
      <c r="DL16" s="172" t="s">
        <v>20</v>
      </c>
      <c r="DM16" s="172" t="s">
        <v>22</v>
      </c>
      <c r="DN16" s="172" t="s">
        <v>9</v>
      </c>
      <c r="DO16" s="172" t="s">
        <v>211</v>
      </c>
      <c r="DP16" s="173"/>
      <c r="DQ16" s="174">
        <f t="shared" si="7"/>
        <v>2</v>
      </c>
      <c r="DR16" s="174">
        <f t="shared" si="7"/>
        <v>4</v>
      </c>
      <c r="DS16" s="174">
        <f t="shared" si="7"/>
        <v>0</v>
      </c>
      <c r="DT16" s="174">
        <f t="shared" si="7"/>
        <v>0</v>
      </c>
      <c r="DU16" s="174">
        <f t="shared" si="8"/>
        <v>6</v>
      </c>
      <c r="DV16" s="173"/>
      <c r="DW16" s="173"/>
      <c r="DX16" s="173"/>
    </row>
    <row r="17" spans="1:128" x14ac:dyDescent="0.2">
      <c r="V17" s="169" t="s">
        <v>22</v>
      </c>
      <c r="CY17" s="169">
        <v>15</v>
      </c>
      <c r="CZ17" s="169" t="str">
        <f>Tournament!H27</f>
        <v>Frankreich</v>
      </c>
      <c r="DA17" s="169">
        <f>IF(AND(Tournament!J27&lt;&gt;"",Tournament!L27&lt;&gt;""),Tournament!J27,0)</f>
        <v>2</v>
      </c>
      <c r="DB17" s="169">
        <f>IF(AND(Tournament!L27&lt;&gt;"",Tournament!J27&lt;&gt;""),Tournament!L27,0)</f>
        <v>0</v>
      </c>
      <c r="DC17" s="169" t="str">
        <f>Tournament!N27</f>
        <v>Albanien</v>
      </c>
      <c r="DD17" s="169" t="str">
        <f>IF(AND(Tournament!J27&lt;&gt;"",Tournament!L27&lt;&gt;""),IF(DA17&gt;DB17,"W",IF(DA17=DB17,"D","L")),"")</f>
        <v>W</v>
      </c>
      <c r="DE17" s="169" t="str">
        <f t="shared" si="6"/>
        <v>L</v>
      </c>
      <c r="DH17" s="172" t="s">
        <v>22</v>
      </c>
      <c r="DI17" s="173" t="s">
        <v>9</v>
      </c>
      <c r="DJ17" s="173" t="s">
        <v>20</v>
      </c>
      <c r="DK17" s="173" t="s">
        <v>219</v>
      </c>
      <c r="DL17" s="172" t="s">
        <v>20</v>
      </c>
      <c r="DM17" s="172" t="s">
        <v>22</v>
      </c>
      <c r="DN17" s="172" t="s">
        <v>9</v>
      </c>
      <c r="DO17" s="172" t="s">
        <v>219</v>
      </c>
      <c r="DP17" s="173"/>
      <c r="DQ17" s="174">
        <f t="shared" si="7"/>
        <v>2</v>
      </c>
      <c r="DR17" s="174">
        <f t="shared" si="7"/>
        <v>0</v>
      </c>
      <c r="DS17" s="174">
        <f t="shared" si="7"/>
        <v>4</v>
      </c>
      <c r="DT17" s="174">
        <f t="shared" si="7"/>
        <v>0</v>
      </c>
      <c r="DU17" s="174">
        <f t="shared" si="8"/>
        <v>6</v>
      </c>
      <c r="DV17" s="173"/>
      <c r="DW17" s="173"/>
      <c r="DX17" s="173"/>
    </row>
    <row r="18" spans="1:128" x14ac:dyDescent="0.2">
      <c r="A18" s="169">
        <f>VLOOKUP(B18,$CW$18:$CX$22,2,FALSE)</f>
        <v>1</v>
      </c>
      <c r="B18" s="169" t="str">
        <f>'Countries and Timezone'!C15</f>
        <v>Deutschland</v>
      </c>
      <c r="C18" s="169">
        <f>SUMPRODUCT(($CZ$3:$CZ$42=$B18)*($DD$3:$DD$42="W"))+SUMPRODUCT(($DC$3:$DC$42=$B18)*($DE$3:$DE$42="W"))</f>
        <v>2</v>
      </c>
      <c r="D18" s="169">
        <f>SUMPRODUCT(($CZ$3:$CZ$42=$B18)*($DD$3:$DD$42="D"))+SUMPRODUCT(($DC$3:$DC$42=$B18)*($DE$3:$DE$42="D"))</f>
        <v>1</v>
      </c>
      <c r="E18" s="169">
        <f>SUMPRODUCT(($CZ$3:$CZ$42=$B18)*($DD$3:$DD$42="L"))+SUMPRODUCT(($DC$3:$DC$42=$B18)*($DE$3:$DE$42="L"))</f>
        <v>0</v>
      </c>
      <c r="F18" s="169">
        <f>SUMIF($CZ$3:$CZ$60,B18,$DA$3:$DA$60)+SUMIF($DC$3:$DC$60,B18,$DB$3:$DB$60)</f>
        <v>3</v>
      </c>
      <c r="G18" s="169">
        <f>SUMIF($DC$3:$DC$60,B18,$DA$3:$DA$60)+SUMIF($CZ$3:$CZ$60,B18,$DB$3:$DB$60)</f>
        <v>0</v>
      </c>
      <c r="H18" s="169">
        <f>F18-G18+1000</f>
        <v>1003</v>
      </c>
      <c r="I18" s="169">
        <f>C18*3+D18*1</f>
        <v>7</v>
      </c>
      <c r="J18" s="169">
        <v>1</v>
      </c>
      <c r="K18" s="169">
        <f>RANK(I18,I$18:I$22)</f>
        <v>1</v>
      </c>
      <c r="M18" s="169">
        <f>RANK(I18,$I$18:$I$22)+COUNTIF($I$18:I18,I18)-1</f>
        <v>1</v>
      </c>
      <c r="N18" s="169" t="str">
        <f>INDEX($B$18:$B$22,MATCH(1,$M$18:$M$22,0),0)</f>
        <v>Deutschland</v>
      </c>
      <c r="O18" s="169">
        <f>INDEX($K$18:$K$22,MATCH(N18,$B$18:$B$22,0),0)</f>
        <v>1</v>
      </c>
      <c r="P18" s="169" t="str">
        <f>IF(O19=1,N18,"")</f>
        <v>Deutschland</v>
      </c>
      <c r="Q18" s="169" t="str">
        <f>IF(O20=2,N19,"")</f>
        <v/>
      </c>
      <c r="R18" s="169" t="str">
        <f>IF(O21=3,N20,"")</f>
        <v/>
      </c>
      <c r="S18" s="169" t="str">
        <f>IF(O22=4,N21,"")</f>
        <v/>
      </c>
      <c r="U18" s="169" t="str">
        <f>IF(P18&lt;&gt;"",P18,"")</f>
        <v>Deutschland</v>
      </c>
      <c r="V18" s="169">
        <f>SUMPRODUCT(($CZ$3:$CZ$42=$U18)*($DC$3:$DC$42=$U19)*($DD$3:$DD$42="W"))+SUMPRODUCT(($CZ$3:$CZ$42=$U18)*($DC$3:$DC$42=$U20)*($DD$3:$DD$42="W"))+SUMPRODUCT(($CZ$3:$CZ$42=$U18)*($DC$3:$DC$42=$U21)*($DD$3:$DD$42="W"))+SUMPRODUCT(($CZ$3:$CZ$42=$U18)*($DC$3:$DC$42=$U22)*($DD$3:$DD$42="W"))+SUMPRODUCT(($CZ$3:$CZ$42=$U19)*($DC$3:$DC$42=$U18)*($DE$3:$DE$42="W"))+SUMPRODUCT(($CZ$3:$CZ$42=$U20)*($DC$3:$DC$42=$U18)*($DE$3:$DE$42="W"))+SUMPRODUCT(($CZ$3:$CZ$42=$U21)*($DC$3:$DC$42=$U18)*($DE$3:$DE$42="W"))+SUMPRODUCT(($CZ$3:$CZ$42=$U22)*($DC$3:$DC$42=$U18)*($DE$3:$DE$42="W"))</f>
        <v>0</v>
      </c>
      <c r="W18" s="169">
        <f>SUMPRODUCT(($CZ$3:$CZ$42=$U18)*($DC$3:$DC$42=$U19)*($DD$3:$DD$42="D"))+SUMPRODUCT(($CZ$3:$CZ$42=$U18)*($DC$3:$DC$42=$U20)*($DD$3:$DD$42="D"))+SUMPRODUCT(($CZ$3:$CZ$42=$U18)*($DC$3:$DC$42=$U21)*($DD$3:$DD$42="D"))+SUMPRODUCT(($CZ$3:$CZ$42=$U18)*($DC$3:$DC$42=$U22)*($DD$3:$DD$42="D"))+SUMPRODUCT(($CZ$3:$CZ$42=$U19)*($DC$3:$DC$42=$U18)*($DD$3:$DD$42="D"))+SUMPRODUCT(($CZ$3:$CZ$42=$U20)*($DC$3:$DC$42=$U18)*($DD$3:$DD$42="D"))+SUMPRODUCT(($CZ$3:$CZ$42=$U21)*($DC$3:$DC$42=$U18)*($DD$3:$DD$42="D"))+SUMPRODUCT(($CZ$3:$CZ$42=$U22)*($DC$3:$DC$42=$U18)*($DD$3:$DD$42="D"))</f>
        <v>1</v>
      </c>
      <c r="X18" s="169">
        <f>SUMPRODUCT(($CZ$3:$CZ$42=$U18)*($DC$3:$DC$42=$U19)*($DD$3:$DD$42="L"))+SUMPRODUCT(($CZ$3:$CZ$42=$U18)*($DC$3:$DC$42=$U20)*($DD$3:$DD$42="L"))+SUMPRODUCT(($CZ$3:$CZ$42=$U18)*($DC$3:$DC$42=$U21)*($DD$3:$DD$42="L"))+SUMPRODUCT(($CZ$3:$CZ$42=$U18)*($DC$3:$DC$42=$U22)*($DD$3:$DD$42="L"))+SUMPRODUCT(($CZ$3:$CZ$42=$U19)*($DC$3:$DC$42=$U18)*($DE$3:$DE$42="L"))+SUMPRODUCT(($CZ$3:$CZ$42=$U20)*($DC$3:$DC$42=$U18)*($DE$3:$DE$42="L"))+SUMPRODUCT(($CZ$3:$CZ$42=$U21)*($DC$3:$DC$42=$U18)*($DE$3:$DE$42="L"))+SUMPRODUCT(($CZ$3:$CZ$42=$U22)*($DC$3:$DC$42=$U18)*($DE$3:$DE$42="L"))</f>
        <v>0</v>
      </c>
      <c r="Y18" s="169">
        <f>SUMPRODUCT(($CZ$3:$CZ$42=$U18)*($DC$3:$DC$42=$U19)*$DA$3:$DA$42)+SUMPRODUCT(($CZ$3:$CZ$42=$U18)*($DC$3:$DC$42=$U20)*$DA$3:$DA$42)+SUMPRODUCT(($CZ$3:$CZ$42=$U18)*($DC$3:$DC$42=$U21)*$DA$3:$DA$42)+SUMPRODUCT(($CZ$3:$CZ$42=$U18)*($DC$3:$DC$42=$U22)*$DA$3:$DA$42)+SUMPRODUCT(($CZ$3:$CZ$42=$U19)*($DC$3:$DC$42=$U18)*$DB$3:$DB$42)+SUMPRODUCT(($CZ$3:$CZ$42=$U20)*($DC$3:$DC$42=$U18)*$DB$3:$DB$42)+SUMPRODUCT(($CZ$3:$CZ$42=$U21)*($DC$3:$DC$42=$U18)*$DB$3:$DB$42)+SUMPRODUCT(($CZ$3:$CZ$42=$U22)*($DC$3:$DC$42=$U18)*$DB$3:$DB$42)</f>
        <v>0</v>
      </c>
      <c r="Z18" s="169">
        <f>SUMPRODUCT(($CZ$3:$CZ$42=$U18)*($DC$3:$DC$42=$U19)*$DB$3:$DB$42)+SUMPRODUCT(($CZ$3:$CZ$42=$U18)*($DC$3:$DC$42=$U20)*$DB$3:$DB$42)+SUMPRODUCT(($CZ$3:$CZ$42=$U18)*($DC$3:$DC$42=$U21)*$DB$3:$DB$42)+SUMPRODUCT(($CZ$3:$CZ$42=$U18)*($DC$3:$DC$42=$U22)*$DB$3:$DB$42)+SUMPRODUCT(($CZ$3:$CZ$42=$U19)*($DC$3:$DC$42=$U18)*$DA$3:$DA$42)+SUMPRODUCT(($CZ$3:$CZ$42=$U20)*($DC$3:$DC$42=$U18)*$DA$3:$DA$42)+SUMPRODUCT(($CZ$3:$CZ$42=$U21)*($DC$3:$DC$42=$U18)*$DA$3:$DA$42)+SUMPRODUCT(($CZ$3:$CZ$42=$U22)*($DC$3:$DC$42=$U18)*$DA$3:$DA$42)</f>
        <v>0</v>
      </c>
      <c r="AA18" s="169">
        <f>Y18-Z18+1000</f>
        <v>1000</v>
      </c>
      <c r="AB18" s="169">
        <f>IF(U18&lt;&gt;"",V18*3+W18*1,"")</f>
        <v>1</v>
      </c>
      <c r="AC18" s="169">
        <f>IF(U18&lt;&gt;"",VLOOKUP(U18,$B$4:$H$40,7,FALSE),"")</f>
        <v>1003</v>
      </c>
      <c r="AD18" s="169">
        <f>IF(U18&lt;&gt;"",VLOOKUP(U18,$B$4:$H$40,5,FALSE),"")</f>
        <v>3</v>
      </c>
      <c r="AE18" s="169">
        <f>IF(U18&lt;&gt;"",VLOOKUP(U18,$B$4:$J$40,9,FALSE),"")</f>
        <v>1</v>
      </c>
      <c r="AF18" s="169">
        <f>AB18</f>
        <v>1</v>
      </c>
      <c r="AG18" s="169">
        <f>IF(U18&lt;&gt;"",RANK(AF18,AF$18:AF$22),"")</f>
        <v>1</v>
      </c>
      <c r="AH18" s="169">
        <f>IF(U18&lt;&gt;"",SUMPRODUCT((AF$18:AF$22=AF18)*(AA$18:AA$22&gt;AA18)),"")</f>
        <v>0</v>
      </c>
      <c r="AI18" s="169">
        <f>IF(U18&lt;&gt;"",SUMPRODUCT((AF$18:AF$22=AF18)*(AA$18:AA$22=AA18)*(Y$18:Y$22&gt;Y18)),"")</f>
        <v>0</v>
      </c>
      <c r="AJ18" s="169">
        <f>IF(U18&lt;&gt;"",SUMPRODUCT((AF$18:AF$22=AF18)*(AA$18:AA$22=AA18)*(Y$18:Y$22=Y18)*(AC$18:AC$22&gt;AC18)),"")</f>
        <v>0</v>
      </c>
      <c r="AK18" s="169">
        <f>IF(U18&lt;&gt;"",SUMPRODUCT((AF$18:AF$22=AF18)*(AA$18:AA$22=AA18)*(Y$18:Y$22=Y18)*(AC$18:AC$22=AC18)*(AD$18:AD$22&gt;AD18)),"")</f>
        <v>0</v>
      </c>
      <c r="AL18" s="169">
        <f>IF(U18&lt;&gt;"",SUMPRODUCT((AF$18:AF$22=AF18)*(AA$18:AA$22=AA18)*(Y$18:Y$22=Y18)*(AC$18:AC$22=AC18)*(AD$18:AD$22=AD18)*(AE$18:AE$22&gt;AE18)),"")</f>
        <v>0</v>
      </c>
      <c r="AM18" s="169">
        <f>IF(U18&lt;&gt;"",SUM(AG18:AL18),"")</f>
        <v>1</v>
      </c>
      <c r="AN18" s="169" t="str">
        <f>IF(U18&lt;&gt;"",INDEX($U$18:$U$22,MATCH(1,$AM$18:$AM$22,0),0),"")</f>
        <v>Deutschland</v>
      </c>
      <c r="CW18" s="169" t="str">
        <f>IF(AN18&lt;&gt;"",AN18,N18)</f>
        <v>Deutschland</v>
      </c>
      <c r="CX18" s="169">
        <v>1</v>
      </c>
      <c r="CY18" s="169">
        <v>16</v>
      </c>
      <c r="CZ18" s="169" t="str">
        <f>Tournament!H28</f>
        <v>England</v>
      </c>
      <c r="DA18" s="169">
        <f>IF(AND(Tournament!J28&lt;&gt;"",Tournament!L28&lt;&gt;""),Tournament!J28,0)</f>
        <v>2</v>
      </c>
      <c r="DB18" s="169">
        <f>IF(AND(Tournament!L28&lt;&gt;"",Tournament!J28&lt;&gt;""),Tournament!L28,0)</f>
        <v>1</v>
      </c>
      <c r="DC18" s="169" t="str">
        <f>Tournament!N28</f>
        <v>Wales</v>
      </c>
      <c r="DD18" s="169" t="str">
        <f>IF(AND(Tournament!J28&lt;&gt;"",Tournament!L28&lt;&gt;""),IF(DA18&gt;DB18,"W",IF(DA18=DB18,"D","L")),"")</f>
        <v>W</v>
      </c>
      <c r="DE18" s="169" t="str">
        <f t="shared" si="6"/>
        <v>L</v>
      </c>
      <c r="DH18" s="172" t="s">
        <v>22</v>
      </c>
      <c r="DI18" s="173" t="s">
        <v>9</v>
      </c>
      <c r="DJ18" s="173" t="s">
        <v>211</v>
      </c>
      <c r="DK18" s="173" t="s">
        <v>219</v>
      </c>
      <c r="DL18" s="172" t="s">
        <v>211</v>
      </c>
      <c r="DM18" s="172" t="s">
        <v>22</v>
      </c>
      <c r="DN18" s="172" t="s">
        <v>9</v>
      </c>
      <c r="DO18" s="172" t="s">
        <v>219</v>
      </c>
      <c r="DP18" s="173"/>
      <c r="DQ18" s="174">
        <f t="shared" si="7"/>
        <v>2</v>
      </c>
      <c r="DR18" s="174">
        <f t="shared" si="7"/>
        <v>3</v>
      </c>
      <c r="DS18" s="174">
        <f t="shared" si="7"/>
        <v>4</v>
      </c>
      <c r="DT18" s="174">
        <f t="shared" si="7"/>
        <v>0</v>
      </c>
      <c r="DU18" s="174">
        <f t="shared" si="8"/>
        <v>9</v>
      </c>
      <c r="DV18" s="173"/>
      <c r="DW18" s="173"/>
      <c r="DX18" s="173"/>
    </row>
    <row r="19" spans="1:128" x14ac:dyDescent="0.2">
      <c r="A19" s="169">
        <f>VLOOKUP(B19,$CW$18:$CX$22,2,FALSE)</f>
        <v>4</v>
      </c>
      <c r="B19" s="169" t="str">
        <f>'Countries and Timezone'!C16</f>
        <v>Ukraine</v>
      </c>
      <c r="C19" s="169">
        <f>SUMPRODUCT(($CZ$3:$CZ$42=$B19)*($DD$3:$DD$42="W"))+SUMPRODUCT(($DC$3:$DC$42=$B19)*($DE$3:$DE$42="W"))</f>
        <v>0</v>
      </c>
      <c r="D19" s="169">
        <f>SUMPRODUCT(($CZ$3:$CZ$42=$B19)*($DD$3:$DD$42="D"))+SUMPRODUCT(($DC$3:$DC$42=$B19)*($DE$3:$DE$42="D"))</f>
        <v>0</v>
      </c>
      <c r="E19" s="169">
        <f>SUMPRODUCT(($CZ$3:$CZ$42=$B19)*($DD$3:$DD$42="L"))+SUMPRODUCT(($DC$3:$DC$42=$B19)*($DE$3:$DE$42="L"))</f>
        <v>3</v>
      </c>
      <c r="F19" s="169">
        <f>SUMIF($CZ$3:$CZ$60,B19,$DA$3:$DA$60)+SUMIF($DC$3:$DC$60,B19,$DB$3:$DB$60)</f>
        <v>0</v>
      </c>
      <c r="G19" s="169">
        <f>SUMIF($DC$3:$DC$60,B19,$DA$3:$DA$60)+SUMIF($CZ$3:$CZ$60,B19,$DB$3:$DB$60)</f>
        <v>5</v>
      </c>
      <c r="H19" s="169">
        <f>F19-G19+1000</f>
        <v>995</v>
      </c>
      <c r="I19" s="169">
        <f>C19*3+D19*1</f>
        <v>0</v>
      </c>
      <c r="J19" s="169">
        <v>8</v>
      </c>
      <c r="K19" s="169">
        <f>RANK(I19,I$18:I$22)</f>
        <v>4</v>
      </c>
      <c r="M19" s="169">
        <f>RANK(I19,$I$18:$I$22)+COUNTIF($I$18:I19,I19)-1</f>
        <v>4</v>
      </c>
      <c r="N19" s="169" t="str">
        <f>INDEX($B$18:$B$22,MATCH(2,$M$18:$M$22,0),0)</f>
        <v>Polen</v>
      </c>
      <c r="O19" s="169">
        <f>INDEX($K$18:$K$22,MATCH(N19,$B$18:$B$22,0),0)</f>
        <v>1</v>
      </c>
      <c r="P19" s="169" t="str">
        <f>IF(P18&lt;&gt;"",N19,"")</f>
        <v>Polen</v>
      </c>
      <c r="Q19" s="169" t="str">
        <f>IF(Q18&lt;&gt;"",N20,"")</f>
        <v/>
      </c>
      <c r="R19" s="169" t="str">
        <f>IF(R18&lt;&gt;"",N21,"")</f>
        <v/>
      </c>
      <c r="S19" s="169" t="str">
        <f>IF(S18&lt;&gt;"",N22,"")</f>
        <v/>
      </c>
      <c r="U19" s="169" t="str">
        <f>IF(P19&lt;&gt;"",P19,"")</f>
        <v>Polen</v>
      </c>
      <c r="V19" s="169">
        <f>SUMPRODUCT(($CZ$3:$CZ$42=$U19)*($DC$3:$DC$42=$U20)*($DD$3:$DD$42="W"))+SUMPRODUCT(($CZ$3:$CZ$42=$U19)*($DC$3:$DC$42=$U21)*($DD$3:$DD$42="W"))+SUMPRODUCT(($CZ$3:$CZ$42=$U19)*($DC$3:$DC$42=$U22)*($DD$3:$DD$42="W"))+SUMPRODUCT(($CZ$3:$CZ$42=$U19)*($DC$3:$DC$42=$U18)*($DD$3:$DD$42="W"))+SUMPRODUCT(($CZ$3:$CZ$42=$U20)*($DC$3:$DC$42=$U19)*($DE$3:$DE$42="W"))+SUMPRODUCT(($CZ$3:$CZ$42=$U21)*($DC$3:$DC$42=$U19)*($DE$3:$DE$42="W"))+SUMPRODUCT(($CZ$3:$CZ$42=$U22)*($DC$3:$DC$42=$U19)*($DE$3:$DE$42="W"))+SUMPRODUCT(($CZ$3:$CZ$42=$U18)*($DC$3:$DC$42=$U19)*($DE$3:$DE$42="W"))</f>
        <v>0</v>
      </c>
      <c r="W19" s="169">
        <f>SUMPRODUCT(($CZ$3:$CZ$42=$U19)*($DC$3:$DC$42=$U20)*($DD$3:$DD$42="D"))+SUMPRODUCT(($CZ$3:$CZ$42=$U19)*($DC$3:$DC$42=$U21)*($DD$3:$DD$42="D"))+SUMPRODUCT(($CZ$3:$CZ$42=$U19)*($DC$3:$DC$42=$U22)*($DD$3:$DD$42="D"))+SUMPRODUCT(($CZ$3:$CZ$42=$U19)*($DC$3:$DC$42=$U18)*($DD$3:$DD$42="D"))+SUMPRODUCT(($CZ$3:$CZ$42=$U20)*($DC$3:$DC$42=$U19)*($DD$3:$DD$42="D"))+SUMPRODUCT(($CZ$3:$CZ$42=$U21)*($DC$3:$DC$42=$U19)*($DD$3:$DD$42="D"))+SUMPRODUCT(($CZ$3:$CZ$42=$U22)*($DC$3:$DC$42=$U19)*($DD$3:$DD$42="D"))+SUMPRODUCT(($CZ$3:$CZ$42=$U18)*($DC$3:$DC$42=$U19)*($DD$3:$DD$42="D"))</f>
        <v>1</v>
      </c>
      <c r="X19" s="169">
        <f>SUMPRODUCT(($CZ$3:$CZ$42=$U19)*($DC$3:$DC$42=$U20)*($DD$3:$DD$42="L"))+SUMPRODUCT(($CZ$3:$CZ$42=$U19)*($DC$3:$DC$42=$U21)*($DD$3:$DD$42="L"))+SUMPRODUCT(($CZ$3:$CZ$42=$U19)*($DC$3:$DC$42=$U22)*($DD$3:$DD$42="L"))+SUMPRODUCT(($CZ$3:$CZ$42=$U19)*($DC$3:$DC$42=$U18)*($DD$3:$DD$42="L"))+SUMPRODUCT(($CZ$3:$CZ$42=$U20)*($DC$3:$DC$42=$U19)*($DE$3:$DE$42="L"))+SUMPRODUCT(($CZ$3:$CZ$42=$U21)*($DC$3:$DC$42=$U19)*($DE$3:$DE$42="L"))+SUMPRODUCT(($CZ$3:$CZ$42=$U22)*($DC$3:$DC$42=$U19)*($DE$3:$DE$42="L"))+SUMPRODUCT(($CZ$3:$CZ$42=$U18)*($DC$3:$DC$42=$U19)*($DE$3:$DE$42="L"))</f>
        <v>0</v>
      </c>
      <c r="Y19" s="169">
        <f>SUMPRODUCT(($CZ$3:$CZ$42=$U19)*($DC$3:$DC$42=$U20)*$DA$3:$DA$42)+SUMPRODUCT(($CZ$3:$CZ$42=$U19)*($DC$3:$DC$42=$U21)*$DA$3:$DA$42)+SUMPRODUCT(($CZ$3:$CZ$42=$U19)*($DC$3:$DC$42=$U22)*$DA$3:$DA$42)+SUMPRODUCT(($CZ$3:$CZ$42=$U19)*($DC$3:$DC$42=$U18)*$DA$3:$DA$42)+SUMPRODUCT(($CZ$3:$CZ$42=$U20)*($DC$3:$DC$42=$U19)*$DB$3:$DB$42)+SUMPRODUCT(($CZ$3:$CZ$42=$U21)*($DC$3:$DC$42=$U19)*$DB$3:$DB$42)+SUMPRODUCT(($CZ$3:$CZ$42=$U22)*($DC$3:$DC$42=$U19)*$DB$3:$DB$42)+SUMPRODUCT(($CZ$3:$CZ$42=$U18)*($DC$3:$DC$42=$U19)*$DB$3:$DB$42)</f>
        <v>0</v>
      </c>
      <c r="Z19" s="169">
        <f>SUMPRODUCT(($CZ$3:$CZ$42=$U19)*($DC$3:$DC$42=$U20)*$DB$3:$DB$42)+SUMPRODUCT(($CZ$3:$CZ$42=$U19)*($DC$3:$DC$42=$U21)*$DB$3:$DB$42)+SUMPRODUCT(($CZ$3:$CZ$42=$U19)*($DC$3:$DC$42=$U22)*$DB$3:$DB$42)+SUMPRODUCT(($CZ$3:$CZ$42=$U19)*($DC$3:$DC$42=$U18)*$DB$3:$DB$42)+SUMPRODUCT(($CZ$3:$CZ$42=$U20)*($DC$3:$DC$42=$U19)*$DA$3:$DA$42)+SUMPRODUCT(($CZ$3:$CZ$42=$U21)*($DC$3:$DC$42=$U19)*$DA$3:$DA$42)+SUMPRODUCT(($CZ$3:$CZ$42=$U22)*($DC$3:$DC$42=$U19)*$DA$3:$DA$42)+SUMPRODUCT(($CZ$3:$CZ$42=$U18)*($DC$3:$DC$42=$U19)*$DA$3:$DA$42)</f>
        <v>0</v>
      </c>
      <c r="AA19" s="169">
        <f>Y19-Z19+1000</f>
        <v>1000</v>
      </c>
      <c r="AB19" s="169">
        <f>IF(U19&lt;&gt;"",V19*3+W19*1,"")</f>
        <v>1</v>
      </c>
      <c r="AC19" s="169">
        <f>IF(U19&lt;&gt;"",VLOOKUP(U19,$B$4:$H$40,7,FALSE),"")</f>
        <v>1002</v>
      </c>
      <c r="AD19" s="169">
        <f>IF(U19&lt;&gt;"",VLOOKUP(U19,$B$4:$H$40,5,FALSE),"")</f>
        <v>2</v>
      </c>
      <c r="AE19" s="169">
        <f>IF(U19&lt;&gt;"",VLOOKUP(U19,$B$4:$J$40,9,FALSE),"")</f>
        <v>12</v>
      </c>
      <c r="AF19" s="169">
        <f>AB19</f>
        <v>1</v>
      </c>
      <c r="AG19" s="169">
        <f>IF(U19&lt;&gt;"",RANK(AF19,AF$18:AF$22),"")</f>
        <v>1</v>
      </c>
      <c r="AH19" s="169">
        <f>IF(U19&lt;&gt;"",SUMPRODUCT((AF$18:AF$22=AF19)*(AA$18:AA$22&gt;AA19)),"")</f>
        <v>0</v>
      </c>
      <c r="AI19" s="169">
        <f>IF(U19&lt;&gt;"",SUMPRODUCT((AF$18:AF$22=AF19)*(AA$18:AA$22=AA19)*(Y$18:Y$22&gt;Y19)),"")</f>
        <v>0</v>
      </c>
      <c r="AJ19" s="169">
        <f>IF(U19&lt;&gt;"",SUMPRODUCT((AF$18:AF$22=AF19)*(AA$18:AA$22=AA19)*(Y$18:Y$22=Y19)*(AC$18:AC$22&gt;AC19)),"")</f>
        <v>1</v>
      </c>
      <c r="AK19" s="169">
        <f>IF(U19&lt;&gt;"",SUMPRODUCT((AF$18:AF$22=AF19)*(AA$18:AA$22=AA19)*(Y$18:Y$22=Y19)*(AC$18:AC$22=AC19)*(AD$18:AD$22&gt;AD19)),"")</f>
        <v>0</v>
      </c>
      <c r="AL19" s="169">
        <f>IF(U19&lt;&gt;"",SUMPRODUCT((AF$18:AF$22=AF19)*(AA$18:AA$22=AA19)*(Y$18:Y$22=Y19)*(AC$18:AC$22=AC19)*(AD$18:AD$22=AD19)*(AE$18:AE$22&gt;AE19)),"")</f>
        <v>0</v>
      </c>
      <c r="AM19" s="169">
        <f>IF(U19&lt;&gt;"",SUM(AG19:AL19),"")</f>
        <v>2</v>
      </c>
      <c r="AN19" s="169" t="str">
        <f>IF(U19&lt;&gt;"",INDEX($U$18:$U$22,MATCH(2,$AM$18:$AM$22,0),0),"")</f>
        <v>Polen</v>
      </c>
      <c r="AO19" s="169" t="str">
        <f>IF(Q18&lt;&gt;"",Q18,"")</f>
        <v/>
      </c>
      <c r="AP19" s="169">
        <f>SUMPRODUCT(($CZ$3:$CZ$42=$AO19)*($DC$3:$DC$42=$AO20)*($DD$3:$DD$42="W"))+SUMPRODUCT(($CZ$3:$CZ$42=$AO19)*($DC$3:$DC$42=$AO21)*($DD$3:$DD$42="W"))+SUMPRODUCT(($CZ$3:$CZ$42=$AO19)*($DC$3:$DC$42=$AO22)*($DD$3:$DD$42="W"))+SUMPRODUCT(($CZ$3:$CZ$42=$AO20)*($DC$3:$DC$42=$AO19)*($DE$3:$DE$42="W"))+SUMPRODUCT(($CZ$3:$CZ$42=$AO21)*($DC$3:$DC$42=$AO19)*($DE$3:$DE$42="W"))+SUMPRODUCT(($CZ$3:$CZ$42=$AO22)*($DC$3:$DC$42=$AO19)*($DE$3:$DE$42="W"))</f>
        <v>0</v>
      </c>
      <c r="AQ19" s="169">
        <f>SUMPRODUCT(($CZ$3:$CZ$42=$AO19)*($DC$3:$DC$42=$AO20)*($DD$3:$DD$42="D"))+SUMPRODUCT(($CZ$3:$CZ$42=$AO19)*($DC$3:$DC$42=$AO21)*($DD$3:$DD$42="D"))+SUMPRODUCT(($CZ$3:$CZ$42=$AO19)*($DC$3:$DC$42=$AO22)*($DD$3:$DD$42="D"))+SUMPRODUCT(($CZ$3:$CZ$42=$AO20)*($DC$3:$DC$42=$AO19)*($DD$3:$DD$42="D"))+SUMPRODUCT(($CZ$3:$CZ$42=$AO21)*($DC$3:$DC$42=$AO19)*($DD$3:$DD$42="D"))+SUMPRODUCT(($CZ$3:$CZ$42=$AO22)*($DC$3:$DC$42=$AO19)*($DD$3:$DD$42="D"))</f>
        <v>0</v>
      </c>
      <c r="AR19" s="169">
        <f>SUMPRODUCT(($CZ$3:$CZ$42=$AO19)*($DC$3:$DC$42=$AO20)*($DD$3:$DD$42="L"))+SUMPRODUCT(($CZ$3:$CZ$42=$AO19)*($DC$3:$DC$42=$AO21)*($DD$3:$DD$42="L"))+SUMPRODUCT(($CZ$3:$CZ$42=$AO19)*($DC$3:$DC$42=$AO22)*($DD$3:$DD$42="L"))+SUMPRODUCT(($CZ$3:$CZ$42=$AO20)*($DC$3:$DC$42=$AO19)*($DE$3:$DE$42="L"))+SUMPRODUCT(($CZ$3:$CZ$42=$AO21)*($DC$3:$DC$42=$AO19)*($DE$3:$DE$42="L"))+SUMPRODUCT(($CZ$3:$CZ$42=$AO22)*($DC$3:$DC$42=$AO19)*($DE$3:$DE$42="L"))</f>
        <v>0</v>
      </c>
      <c r="AS19" s="169">
        <f>SUMPRODUCT(($CZ$3:$CZ$42=$AO19)*($DC$3:$DC$42=$AO20)*$DA$3:$DA$42)+SUMPRODUCT(($CZ$3:$CZ$42=$AO19)*($DC$3:$DC$42=$AO21)*$DA$3:$DA$42)+SUMPRODUCT(($CZ$3:$CZ$42=$AO19)*($DC$3:$DC$42=$AO22)*$DA$3:$DA$42)+SUMPRODUCT(($CZ$3:$CZ$42=$AO19)*($DC$3:$DC$42=$AO18)*$DA$3:$DA$42)+SUMPRODUCT(($CZ$3:$CZ$42=$AO20)*($DC$3:$DC$42=$AO19)*$DB$3:$DB$42)+SUMPRODUCT(($CZ$3:$CZ$42=$AO21)*($DC$3:$DC$42=$AO19)*$DB$3:$DB$42)+SUMPRODUCT(($CZ$3:$CZ$42=$AO22)*($DC$3:$DC$42=$AO19)*$DB$3:$DB$42)+SUMPRODUCT(($CZ$3:$CZ$42=$AO18)*($DC$3:$DC$42=$AO19)*$DB$3:$DB$42)</f>
        <v>0</v>
      </c>
      <c r="AT19" s="169">
        <f>SUMPRODUCT(($CZ$3:$CZ$42=$AO19)*($DC$3:$DC$42=$AO20)*$DB$3:$DB$42)+SUMPRODUCT(($CZ$3:$CZ$42=$AO19)*($DC$3:$DC$42=$AO21)*$DB$3:$DB$42)+SUMPRODUCT(($CZ$3:$CZ$42=$AO19)*($DC$3:$DC$42=$AO22)*$DB$3:$DB$42)+SUMPRODUCT(($CZ$3:$CZ$42=$AO19)*($DC$3:$DC$42=$AO18)*$DB$3:$DB$42)+SUMPRODUCT(($CZ$3:$CZ$42=$AO20)*($DC$3:$DC$42=$AO19)*$DA$3:$DA$42)+SUMPRODUCT(($CZ$3:$CZ$42=$AO21)*($DC$3:$DC$42=$AO19)*$DA$3:$DA$42)+SUMPRODUCT(($CZ$3:$CZ$42=$AO22)*($DC$3:$DC$42=$AO19)*$DA$3:$DA$42)+SUMPRODUCT(($CZ$3:$CZ$42=$AO18)*($DC$3:$DC$42=$AO19)*$DA$3:$DA$42)</f>
        <v>0</v>
      </c>
      <c r="AU19" s="169">
        <f>AS19-AT19+1000</f>
        <v>1000</v>
      </c>
      <c r="AV19" s="169" t="str">
        <f>IF(AO19&lt;&gt;"",AP19*3+AQ19*1,"")</f>
        <v/>
      </c>
      <c r="AW19" s="169" t="str">
        <f>IF(AO19&lt;&gt;"",VLOOKUP(AO19,$B$4:$H$40,7,FALSE),"")</f>
        <v/>
      </c>
      <c r="AX19" s="169" t="str">
        <f>IF(AO19&lt;&gt;"",VLOOKUP(AO19,$B$4:$H$40,5,FALSE),"")</f>
        <v/>
      </c>
      <c r="AY19" s="169" t="str">
        <f>IF(AO19&lt;&gt;"",VLOOKUP(AO19,$B$4:$J$40,9,FALSE),"")</f>
        <v/>
      </c>
      <c r="AZ19" s="169" t="str">
        <f>AV19</f>
        <v/>
      </c>
      <c r="BA19" s="169" t="str">
        <f>IF(AO19&lt;&gt;"",RANK(AZ19,AZ$18:AZ$22),"")</f>
        <v/>
      </c>
      <c r="BB19" s="169" t="str">
        <f>IF(AO19&lt;&gt;"",SUMPRODUCT((AZ$18:AZ$22=AZ19)*(AU$18:AU$22&gt;AU19)),"")</f>
        <v/>
      </c>
      <c r="BC19" s="169" t="str">
        <f>IF(AO19&lt;&gt;"",SUMPRODUCT((AZ$18:AZ$22=AZ19)*(AU$18:AU$22=AU19)*(AS$18:AS$22&gt;AS19)),"")</f>
        <v/>
      </c>
      <c r="BD19" s="169" t="str">
        <f>IF(AO19&lt;&gt;"",SUMPRODUCT((AZ$18:AZ$22=AZ19)*(AU$18:AU$22=AU19)*(AS$18:AS$22=AS19)*(AW$18:AW$22&gt;AW19)),"")</f>
        <v/>
      </c>
      <c r="BE19" s="169" t="str">
        <f>IF(AO19&lt;&gt;"",SUMPRODUCT((AZ$18:AZ$22=AZ19)*(AU$18:AU$22=AU19)*(AS$18:AS$22=AS19)*(AW$18:AW$22=AW19)*(AX$18:AX$22&gt;AX19)),"")</f>
        <v/>
      </c>
      <c r="BF19" s="169" t="str">
        <f>IF(AO19&lt;&gt;"",SUMPRODUCT((AZ$18:AZ$22=AZ19)*(AU$18:AU$22=AU19)*(AS$18:AS$22=AS19)*(AW$18:AW$22=AW19)*(AX$18:AX$22=AX19)*(AY$18:AY$22&gt;AY19)),"")</f>
        <v/>
      </c>
      <c r="BG19" s="169" t="str">
        <f>IF(AO19&lt;&gt;"",SUM(BA19:BF19)+1,"")</f>
        <v/>
      </c>
      <c r="BH19" s="169" t="str">
        <f>IF(AO19&lt;&gt;"",INDEX(AO19:AO22,MATCH(2,BG19:BG22,0),0),"")</f>
        <v/>
      </c>
      <c r="CW19" s="169" t="str">
        <f>IF(BH19&lt;&gt;"",BH19,IF(AN19&lt;&gt;"",AN19,N19))</f>
        <v>Polen</v>
      </c>
      <c r="CX19" s="169">
        <v>2</v>
      </c>
      <c r="CY19" s="169">
        <v>17</v>
      </c>
      <c r="CZ19" s="169" t="str">
        <f>Tournament!H29</f>
        <v>Ukraine</v>
      </c>
      <c r="DA19" s="169">
        <f>IF(AND(Tournament!J29&lt;&gt;"",Tournament!L29&lt;&gt;""),Tournament!J29,0)</f>
        <v>0</v>
      </c>
      <c r="DB19" s="169">
        <f>IF(AND(Tournament!L29&lt;&gt;"",Tournament!J29&lt;&gt;""),Tournament!L29,0)</f>
        <v>2</v>
      </c>
      <c r="DC19" s="169" t="str">
        <f>Tournament!N29</f>
        <v>Nordirland</v>
      </c>
      <c r="DD19" s="169" t="str">
        <f>IF(AND(Tournament!J29&lt;&gt;"",Tournament!L29&lt;&gt;""),IF(DA19&gt;DB19,"W",IF(DA19=DB19,"D","L")),"")</f>
        <v>L</v>
      </c>
      <c r="DE19" s="169" t="str">
        <f t="shared" si="6"/>
        <v>W</v>
      </c>
      <c r="DH19" s="172" t="s">
        <v>22</v>
      </c>
      <c r="DI19" s="173" t="s">
        <v>10</v>
      </c>
      <c r="DJ19" s="173" t="s">
        <v>20</v>
      </c>
      <c r="DK19" s="173" t="s">
        <v>211</v>
      </c>
      <c r="DL19" s="172" t="s">
        <v>10</v>
      </c>
      <c r="DM19" s="172" t="s">
        <v>20</v>
      </c>
      <c r="DN19" s="172" t="s">
        <v>22</v>
      </c>
      <c r="DO19" s="172" t="s">
        <v>211</v>
      </c>
      <c r="DP19" s="173"/>
      <c r="DQ19" s="174">
        <f t="shared" si="7"/>
        <v>0</v>
      </c>
      <c r="DR19" s="174">
        <f t="shared" si="7"/>
        <v>4</v>
      </c>
      <c r="DS19" s="174">
        <f t="shared" si="7"/>
        <v>0</v>
      </c>
      <c r="DT19" s="174">
        <f t="shared" si="7"/>
        <v>2</v>
      </c>
      <c r="DU19" s="174">
        <f t="shared" si="8"/>
        <v>6</v>
      </c>
      <c r="DV19" s="173"/>
      <c r="DW19" s="173"/>
      <c r="DX19" s="173"/>
    </row>
    <row r="20" spans="1:128" x14ac:dyDescent="0.2">
      <c r="A20" s="169">
        <f>VLOOKUP(B20,$CW$18:$CX$22,2,FALSE)</f>
        <v>2</v>
      </c>
      <c r="B20" s="169" t="str">
        <f>'Countries and Timezone'!C17</f>
        <v>Polen</v>
      </c>
      <c r="C20" s="169">
        <f>SUMPRODUCT(($CZ$3:$CZ$42=$B20)*($DD$3:$DD$42="W"))+SUMPRODUCT(($DC$3:$DC$42=$B20)*($DE$3:$DE$42="W"))</f>
        <v>2</v>
      </c>
      <c r="D20" s="169">
        <f>SUMPRODUCT(($CZ$3:$CZ$42=$B20)*($DD$3:$DD$42="D"))+SUMPRODUCT(($DC$3:$DC$42=$B20)*($DE$3:$DE$42="D"))</f>
        <v>1</v>
      </c>
      <c r="E20" s="169">
        <f>SUMPRODUCT(($CZ$3:$CZ$42=$B20)*($DD$3:$DD$42="L"))+SUMPRODUCT(($DC$3:$DC$42=$B20)*($DE$3:$DE$42="L"))</f>
        <v>0</v>
      </c>
      <c r="F20" s="169">
        <f>SUMIF($CZ$3:$CZ$60,B20,$DA$3:$DA$60)+SUMIF($DC$3:$DC$60,B20,$DB$3:$DB$60)</f>
        <v>2</v>
      </c>
      <c r="G20" s="169">
        <f>SUMIF($DC$3:$DC$60,B20,$DA$3:$DA$60)+SUMIF($CZ$3:$CZ$60,B20,$DB$3:$DB$60)</f>
        <v>0</v>
      </c>
      <c r="H20" s="169">
        <f>F20-G20+1000</f>
        <v>1002</v>
      </c>
      <c r="I20" s="169">
        <f>C20*3+D20*1</f>
        <v>7</v>
      </c>
      <c r="J20" s="169">
        <v>12</v>
      </c>
      <c r="K20" s="169">
        <f>RANK(I20,I$18:I$22)</f>
        <v>1</v>
      </c>
      <c r="M20" s="169">
        <f>RANK(I20,$I$18:$I$22)+COUNTIF($I$18:I20,I20)-1</f>
        <v>2</v>
      </c>
      <c r="N20" s="169" t="str">
        <f>INDEX($B$18:$B$22,MATCH(3,$M$18:$M$22,0),0)</f>
        <v>Nordirland</v>
      </c>
      <c r="O20" s="169">
        <f>INDEX($K$18:$K$22,MATCH(N20,$B$18:$B$22,0),0)</f>
        <v>3</v>
      </c>
      <c r="P20" s="169" t="str">
        <f>IF(AND(P19&lt;&gt;"",O20=1),N20,"")</f>
        <v/>
      </c>
      <c r="Q20" s="169" t="str">
        <f>IF(AND(Q19&lt;&gt;"",O21=2),N21,"")</f>
        <v/>
      </c>
      <c r="R20" s="169" t="str">
        <f>IF(AND(R19&lt;&gt;"",O22=3),N22,"")</f>
        <v/>
      </c>
      <c r="U20" s="169" t="str">
        <f>IF(P20&lt;&gt;"",P20,"")</f>
        <v/>
      </c>
      <c r="V20" s="169">
        <f>SUMPRODUCT(($CZ$3:$CZ$42=$U20)*($DC$3:$DC$42=$U21)*($DD$3:$DD$42="W"))+SUMPRODUCT(($CZ$3:$CZ$42=$U20)*($DC$3:$DC$42=$U22)*($DD$3:$DD$42="W"))+SUMPRODUCT(($CZ$3:$CZ$42=$U20)*($DC$3:$DC$42=$U18)*($DD$3:$DD$42="W"))+SUMPRODUCT(($CZ$3:$CZ$42=$U20)*($DC$3:$DC$42=$U19)*($DD$3:$DD$42="W"))+SUMPRODUCT(($CZ$3:$CZ$42=$U21)*($DC$3:$DC$42=$U20)*($DE$3:$DE$42="W"))+SUMPRODUCT(($CZ$3:$CZ$42=$U22)*($DC$3:$DC$42=$U20)*($DE$3:$DE$42="W"))+SUMPRODUCT(($CZ$3:$CZ$42=$U18)*($DC$3:$DC$42=$U20)*($DE$3:$DE$42="W"))+SUMPRODUCT(($CZ$3:$CZ$42=$U19)*($DC$3:$DC$42=$U20)*($DE$3:$DE$42="W"))</f>
        <v>0</v>
      </c>
      <c r="W20" s="169">
        <f>SUMPRODUCT(($CZ$3:$CZ$42=$U20)*($DC$3:$DC$42=$U21)*($DD$3:$DD$42="D"))+SUMPRODUCT(($CZ$3:$CZ$42=$U20)*($DC$3:$DC$42=$U22)*($DD$3:$DD$42="D"))+SUMPRODUCT(($CZ$3:$CZ$42=$U20)*($DC$3:$DC$42=$U18)*($DD$3:$DD$42="D"))+SUMPRODUCT(($CZ$3:$CZ$42=$U20)*($DC$3:$DC$42=$U19)*($DD$3:$DD$42="D"))+SUMPRODUCT(($CZ$3:$CZ$42=$U21)*($DC$3:$DC$42=$U20)*($DD$3:$DD$42="D"))+SUMPRODUCT(($CZ$3:$CZ$42=$U22)*($DC$3:$DC$42=$U20)*($DD$3:$DD$42="D"))+SUMPRODUCT(($CZ$3:$CZ$42=$U18)*($DC$3:$DC$42=$U20)*($DD$3:$DD$42="D"))+SUMPRODUCT(($CZ$3:$CZ$42=$U19)*($DC$3:$DC$42=$U20)*($DD$3:$DD$42="D"))</f>
        <v>0</v>
      </c>
      <c r="X20" s="169">
        <f>SUMPRODUCT(($CZ$3:$CZ$42=$U20)*($DC$3:$DC$42=$U21)*($DD$3:$DD$42="L"))+SUMPRODUCT(($CZ$3:$CZ$42=$U20)*($DC$3:$DC$42=$U22)*($DD$3:$DD$42="L"))+SUMPRODUCT(($CZ$3:$CZ$42=$U20)*($DC$3:$DC$42=$U18)*($DD$3:$DD$42="L"))+SUMPRODUCT(($CZ$3:$CZ$42=$U20)*($DC$3:$DC$42=$U19)*($DD$3:$DD$42="L"))+SUMPRODUCT(($CZ$3:$CZ$42=$U21)*($DC$3:$DC$42=$U20)*($DE$3:$DE$42="L"))+SUMPRODUCT(($CZ$3:$CZ$42=$U22)*($DC$3:$DC$42=$U20)*($DE$3:$DE$42="L"))+SUMPRODUCT(($CZ$3:$CZ$42=$U18)*($DC$3:$DC$42=$U20)*($DE$3:$DE$42="L"))+SUMPRODUCT(($CZ$3:$CZ$42=$U19)*($DC$3:$DC$42=$U20)*($DE$3:$DE$42="L"))</f>
        <v>0</v>
      </c>
      <c r="Y20" s="169">
        <f>SUMPRODUCT(($CZ$3:$CZ$42=$U20)*($DC$3:$DC$42=$U21)*$DA$3:$DA$42)+SUMPRODUCT(($CZ$3:$CZ$42=$U20)*($DC$3:$DC$42=$U22)*$DA$3:$DA$42)+SUMPRODUCT(($CZ$3:$CZ$42=$U20)*($DC$3:$DC$42=$U18)*$DA$3:$DA$42)+SUMPRODUCT(($CZ$3:$CZ$42=$U20)*($DC$3:$DC$42=$U19)*$DA$3:$DA$42)+SUMPRODUCT(($CZ$3:$CZ$42=$U21)*($DC$3:$DC$42=$U20)*$DB$3:$DB$42)+SUMPRODUCT(($CZ$3:$CZ$42=$U22)*($DC$3:$DC$42=$U20)*$DB$3:$DB$42)+SUMPRODUCT(($CZ$3:$CZ$42=$U18)*($DC$3:$DC$42=$U20)*$DB$3:$DB$42)+SUMPRODUCT(($CZ$3:$CZ$42=$U19)*($DC$3:$DC$42=$U20)*$DB$3:$DB$42)</f>
        <v>0</v>
      </c>
      <c r="Z20" s="169">
        <f>SUMPRODUCT(($CZ$3:$CZ$42=$U20)*($DC$3:$DC$42=$U21)*$DB$3:$DB$42)+SUMPRODUCT(($CZ$3:$CZ$42=$U20)*($DC$3:$DC$42=$U22)*$DB$3:$DB$42)+SUMPRODUCT(($CZ$3:$CZ$42=$U20)*($DC$3:$DC$42=$U18)*$DB$3:$DB$42)+SUMPRODUCT(($CZ$3:$CZ$42=$U20)*($DC$3:$DC$42=$U19)*$DB$3:$DB$42)+SUMPRODUCT(($CZ$3:$CZ$42=$U21)*($DC$3:$DC$42=$U20)*$DA$3:$DA$42)+SUMPRODUCT(($CZ$3:$CZ$42=$U22)*($DC$3:$DC$42=$U20)*$DA$3:$DA$42)+SUMPRODUCT(($CZ$3:$CZ$42=$U18)*($DC$3:$DC$42=$U20)*$DA$3:$DA$42)+SUMPRODUCT(($CZ$3:$CZ$42=$U19)*($DC$3:$DC$42=$U20)*$DA$3:$DA$42)</f>
        <v>0</v>
      </c>
      <c r="AA20" s="169">
        <f>Y20-Z20+1000</f>
        <v>1000</v>
      </c>
      <c r="AB20" s="169" t="str">
        <f>IF(U20&lt;&gt;"",V20*3+W20*1,"")</f>
        <v/>
      </c>
      <c r="AC20" s="169" t="str">
        <f>IF(U20&lt;&gt;"",VLOOKUP(U20,$B$4:$H$40,7,FALSE),"")</f>
        <v/>
      </c>
      <c r="AD20" s="169" t="str">
        <f>IF(U20&lt;&gt;"",VLOOKUP(U20,$B$4:$H$40,5,FALSE),"")</f>
        <v/>
      </c>
      <c r="AE20" s="169" t="str">
        <f>IF(U20&lt;&gt;"",VLOOKUP(U20,$B$4:$J$40,9,FALSE),"")</f>
        <v/>
      </c>
      <c r="AF20" s="169" t="str">
        <f>AB20</f>
        <v/>
      </c>
      <c r="AG20" s="169" t="str">
        <f>IF(U20&lt;&gt;"",RANK(AF20,AF$18:AF$22),"")</f>
        <v/>
      </c>
      <c r="AH20" s="169" t="str">
        <f>IF(U20&lt;&gt;"",SUMPRODUCT((AF$18:AF$22=AF20)*(AA$18:AA$22&gt;AA20)),"")</f>
        <v/>
      </c>
      <c r="AI20" s="169" t="str">
        <f>IF(U20&lt;&gt;"",SUMPRODUCT((AF$18:AF$22=AF20)*(AA$18:AA$22=AA20)*(Y$18:Y$22&gt;Y20)),"")</f>
        <v/>
      </c>
      <c r="AJ20" s="169" t="str">
        <f>IF(U20&lt;&gt;"",SUMPRODUCT((AF$18:AF$22=AF20)*(AA$18:AA$22=AA20)*(Y$18:Y$22=Y20)*(AC$18:AC$22&gt;AC20)),"")</f>
        <v/>
      </c>
      <c r="AK20" s="169" t="str">
        <f>IF(U20&lt;&gt;"",SUMPRODUCT((AF$18:AF$22=AF20)*(AA$18:AA$22=AA20)*(Y$18:Y$22=Y20)*(AC$18:AC$22=AC20)*(AD$18:AD$22&gt;AD20)),"")</f>
        <v/>
      </c>
      <c r="AL20" s="169" t="str">
        <f>IF(U20&lt;&gt;"",SUMPRODUCT((AF$18:AF$22=AF20)*(AA$18:AA$22=AA20)*(Y$18:Y$22=Y20)*(AC$18:AC$22=AC20)*(AD$18:AD$22=AD20)*(AE$18:AE$22&gt;AE20)),"")</f>
        <v/>
      </c>
      <c r="AM20" s="169" t="str">
        <f>IF(U20&lt;&gt;"",SUM(AG20:AL20),"")</f>
        <v/>
      </c>
      <c r="AN20" s="169" t="str">
        <f>IF(U20&lt;&gt;"",INDEX($U$18:$U$22,MATCH(3,$AM$18:$AM$22,0),0),"")</f>
        <v/>
      </c>
      <c r="AO20" s="169" t="str">
        <f>IF(Q19&lt;&gt;"",Q19,"")</f>
        <v/>
      </c>
      <c r="AP20" s="169">
        <f>SUMPRODUCT(($CZ$3:$CZ$42=$AO20)*($DC$3:$DC$42=$AO21)*($DD$3:$DD$42="W"))+SUMPRODUCT(($CZ$3:$CZ$42=$AO20)*($DC$3:$DC$42=$AO22)*($DD$3:$DD$42="W"))+SUMPRODUCT(($CZ$3:$CZ$42=$AO20)*($DC$3:$DC$42=$AO19)*($DD$3:$DD$42="W"))+SUMPRODUCT(($CZ$3:$CZ$42=$AO21)*($DC$3:$DC$42=$AO20)*($DE$3:$DE$42="W"))+SUMPRODUCT(($CZ$3:$CZ$42=$AO22)*($DC$3:$DC$42=$AO20)*($DE$3:$DE$42="W"))+SUMPRODUCT(($CZ$3:$CZ$42=$AO19)*($DC$3:$DC$42=$AO20)*($DE$3:$DE$42="W"))</f>
        <v>0</v>
      </c>
      <c r="AQ20" s="169">
        <f>SUMPRODUCT(($CZ$3:$CZ$42=$AO20)*($DC$3:$DC$42=$AO21)*($DD$3:$DD$42="D"))+SUMPRODUCT(($CZ$3:$CZ$42=$AO20)*($DC$3:$DC$42=$AO22)*($DD$3:$DD$42="D"))+SUMPRODUCT(($CZ$3:$CZ$42=$AO20)*($DC$3:$DC$42=$AO19)*($DD$3:$DD$42="D"))+SUMPRODUCT(($CZ$3:$CZ$42=$AO21)*($DC$3:$DC$42=$AO20)*($DD$3:$DD$42="D"))+SUMPRODUCT(($CZ$3:$CZ$42=$AO22)*($DC$3:$DC$42=$AO20)*($DD$3:$DD$42="D"))+SUMPRODUCT(($CZ$3:$CZ$42=$AO19)*($DC$3:$DC$42=$AO20)*($DD$3:$DD$42="D"))</f>
        <v>0</v>
      </c>
      <c r="AR20" s="169">
        <f>SUMPRODUCT(($CZ$3:$CZ$42=$AO20)*($DC$3:$DC$42=$AO21)*($DD$3:$DD$42="L"))+SUMPRODUCT(($CZ$3:$CZ$42=$AO20)*($DC$3:$DC$42=$AO22)*($DD$3:$DD$42="L"))+SUMPRODUCT(($CZ$3:$CZ$42=$AO20)*($DC$3:$DC$42=$AO19)*($DD$3:$DD$42="L"))+SUMPRODUCT(($CZ$3:$CZ$42=$AO21)*($DC$3:$DC$42=$AO20)*($DE$3:$DE$42="L"))+SUMPRODUCT(($CZ$3:$CZ$42=$AO22)*($DC$3:$DC$42=$AO20)*($DE$3:$DE$42="L"))+SUMPRODUCT(($CZ$3:$CZ$42=$AO19)*($DC$3:$DC$42=$AO20)*($DE$3:$DE$42="L"))</f>
        <v>0</v>
      </c>
      <c r="AS20" s="169">
        <f>SUMPRODUCT(($CZ$3:$CZ$42=$AO20)*($DC$3:$DC$42=$AO21)*$DA$3:$DA$42)+SUMPRODUCT(($CZ$3:$CZ$42=$AO20)*($DC$3:$DC$42=$AO22)*$DA$3:$DA$42)+SUMPRODUCT(($CZ$3:$CZ$42=$AO20)*($DC$3:$DC$42=$AO18)*$DA$3:$DA$42)+SUMPRODUCT(($CZ$3:$CZ$42=$AO20)*($DC$3:$DC$42=$AO19)*$DA$3:$DA$42)+SUMPRODUCT(($CZ$3:$CZ$42=$AO21)*($DC$3:$DC$42=$AO20)*$DB$3:$DB$42)+SUMPRODUCT(($CZ$3:$CZ$42=$AO22)*($DC$3:$DC$42=$AO20)*$DB$3:$DB$42)+SUMPRODUCT(($CZ$3:$CZ$42=$AO18)*($DC$3:$DC$42=$AO20)*$DB$3:$DB$42)+SUMPRODUCT(($CZ$3:$CZ$42=$AO19)*($DC$3:$DC$42=$AO20)*$DB$3:$DB$42)</f>
        <v>0</v>
      </c>
      <c r="AT20" s="169">
        <f>SUMPRODUCT(($CZ$3:$CZ$42=$AO20)*($DC$3:$DC$42=$AO21)*$DB$3:$DB$42)+SUMPRODUCT(($CZ$3:$CZ$42=$AO20)*($DC$3:$DC$42=$AO22)*$DB$3:$DB$42)+SUMPRODUCT(($CZ$3:$CZ$42=$AO20)*($DC$3:$DC$42=$AO18)*$DB$3:$DB$42)+SUMPRODUCT(($CZ$3:$CZ$42=$AO20)*($DC$3:$DC$42=$AO19)*$DB$3:$DB$42)+SUMPRODUCT(($CZ$3:$CZ$42=$AO21)*($DC$3:$DC$42=$AO20)*$DA$3:$DA$42)+SUMPRODUCT(($CZ$3:$CZ$42=$AO22)*($DC$3:$DC$42=$AO20)*$DA$3:$DA$42)+SUMPRODUCT(($CZ$3:$CZ$42=$AO18)*($DC$3:$DC$42=$AO20)*$DA$3:$DA$42)+SUMPRODUCT(($CZ$3:$CZ$42=$AO19)*($DC$3:$DC$42=$AO20)*$DA$3:$DA$42)</f>
        <v>0</v>
      </c>
      <c r="AU20" s="169">
        <f>AS20-AT20+1000</f>
        <v>1000</v>
      </c>
      <c r="AV20" s="169" t="str">
        <f>IF(AO20&lt;&gt;"",AP20*3+AQ20*1,"")</f>
        <v/>
      </c>
      <c r="AW20" s="169" t="str">
        <f>IF(AO20&lt;&gt;"",VLOOKUP(AO20,$B$4:$H$40,7,FALSE),"")</f>
        <v/>
      </c>
      <c r="AX20" s="169" t="str">
        <f>IF(AO20&lt;&gt;"",VLOOKUP(AO20,$B$4:$H$40,5,FALSE),"")</f>
        <v/>
      </c>
      <c r="AY20" s="169" t="str">
        <f>IF(AO20&lt;&gt;"",VLOOKUP(AO20,$B$4:$J$40,9,FALSE),"")</f>
        <v/>
      </c>
      <c r="AZ20" s="169" t="str">
        <f>AV20</f>
        <v/>
      </c>
      <c r="BA20" s="169" t="str">
        <f>IF(AO20&lt;&gt;"",RANK(AZ20,AZ$18:AZ$22),"")</f>
        <v/>
      </c>
      <c r="BB20" s="169" t="str">
        <f>IF(AO20&lt;&gt;"",SUMPRODUCT((AZ$18:AZ$22=AZ20)*(AU$18:AU$22&gt;AU20)),"")</f>
        <v/>
      </c>
      <c r="BC20" s="169" t="str">
        <f>IF(AO20&lt;&gt;"",SUMPRODUCT((AZ$18:AZ$22=AZ20)*(AU$18:AU$22=AU20)*(AS$18:AS$22&gt;AS20)),"")</f>
        <v/>
      </c>
      <c r="BD20" s="169" t="str">
        <f>IF(AO20&lt;&gt;"",SUMPRODUCT((AZ$18:AZ$22=AZ20)*(AU$18:AU$22=AU20)*(AS$18:AS$22=AS20)*(AW$18:AW$22&gt;AW20)),"")</f>
        <v/>
      </c>
      <c r="BE20" s="169" t="str">
        <f>IF(AO20&lt;&gt;"",SUMPRODUCT((AZ$18:AZ$22=AZ20)*(AU$18:AU$22=AU20)*(AS$18:AS$22=AS20)*(AW$18:AW$22=AW20)*(AX$18:AX$22&gt;AX20)),"")</f>
        <v/>
      </c>
      <c r="BF20" s="169" t="str">
        <f>IF(AO20&lt;&gt;"",SUMPRODUCT((AZ$18:AZ$22=AZ20)*(AU$18:AU$22=AU20)*(AS$18:AS$22=AS20)*(AW$18:AW$22=AW20)*(AX$18:AX$22=AX20)*(AY$18:AY$22&gt;AY20)),"")</f>
        <v/>
      </c>
      <c r="BG20" s="169" t="str">
        <f>IF(AO20&lt;&gt;"",SUM(BA20:BF20)+1,"")</f>
        <v/>
      </c>
      <c r="BH20" s="169" t="str">
        <f>IF(AO20&lt;&gt;"",INDEX(AO19:AO22,MATCH(3,BG19:BG22,0),0),"")</f>
        <v/>
      </c>
      <c r="BI20" s="169" t="str">
        <f>IF(R18&lt;&gt;"",R18,"")</f>
        <v/>
      </c>
      <c r="BJ20" s="169">
        <f>SUMPRODUCT(($CZ$3:$CZ$42=$BI20)*($DC$3:$DC$42=$BI21)*($DD$3:$DD$42="W"))+SUMPRODUCT(($CZ$3:$CZ$42=$BI20)*($DC$3:$DC$42=$BI22)*($DD$3:$DD$42="W"))+SUMPRODUCT(($CZ$3:$CZ$42=$BI20)*($DC$3:$DC$42=$BI23)*($DD$3:$DD$42="W"))+SUMPRODUCT(($CZ$3:$CZ$42=$BI21)*($DC$3:$DC$42=$BI20)*($DE$3:$DE$42="W"))+SUMPRODUCT(($CZ$3:$CZ$42=$BI22)*($DC$3:$DC$42=$BI20)*($DE$3:$DE$42="W"))+SUMPRODUCT(($CZ$3:$CZ$42=$BI23)*($DC$3:$DC$42=$BI20)*($DE$3:$DE$42="W"))</f>
        <v>0</v>
      </c>
      <c r="BK20" s="169">
        <f>SUMPRODUCT(($CZ$3:$CZ$42=$BI20)*($DC$3:$DC$42=$BI21)*($DD$3:$DD$42="D"))+SUMPRODUCT(($CZ$3:$CZ$42=$BI20)*($DC$3:$DC$42=$BI22)*($DD$3:$DD$42="D"))+SUMPRODUCT(($CZ$3:$CZ$42=$BI20)*($DC$3:$DC$42=$BI23)*($DD$3:$DD$42="D"))+SUMPRODUCT(($CZ$3:$CZ$42=$BI21)*($DC$3:$DC$42=$BI20)*($DD$3:$DD$42="D"))+SUMPRODUCT(($CZ$3:$CZ$42=$BI22)*($DC$3:$DC$42=$BI20)*($DD$3:$DD$42="D"))+SUMPRODUCT(($CZ$3:$CZ$42=$BI23)*($DC$3:$DC$42=$BI20)*($DD$3:$DD$42="D"))</f>
        <v>0</v>
      </c>
      <c r="BL20" s="169">
        <f>SUMPRODUCT(($CZ$3:$CZ$42=$BI20)*($DC$3:$DC$42=$BI21)*($DD$3:$DD$42="L"))+SUMPRODUCT(($CZ$3:$CZ$42=$BI20)*($DC$3:$DC$42=$BI22)*($DD$3:$DD$42="L"))+SUMPRODUCT(($CZ$3:$CZ$42=$BI20)*($DC$3:$DC$42=$BI23)*($DD$3:$DD$42="L"))+SUMPRODUCT(($CZ$3:$CZ$42=$BI21)*($DC$3:$DC$42=$BI20)*($DE$3:$DE$42="L"))+SUMPRODUCT(($CZ$3:$CZ$42=$BI22)*($DC$3:$DC$42=$BI20)*($DE$3:$DE$42="L"))+SUMPRODUCT(($CZ$3:$CZ$42=$BI23)*($DC$3:$DC$42=$BI20)*($DE$3:$DE$42="L"))</f>
        <v>0</v>
      </c>
      <c r="BM20" s="169">
        <f>SUMPRODUCT(($CZ$3:$CZ$42=$BI20)*($DC$3:$DC$42=$BI21)*$DA$3:$DA$42)+SUMPRODUCT(($CZ$3:$CZ$42=$BI20)*($DC$3:$DC$42=$BI22)*$DA$3:$DA$42)+SUMPRODUCT(($CZ$3:$CZ$42=$BI20)*($DC$3:$DC$42=$BI18)*$DA$3:$DA$42)+SUMPRODUCT(($CZ$3:$CZ$42=$BI20)*($DC$3:$DC$42=$BI19)*$DA$3:$DA$42)+SUMPRODUCT(($CZ$3:$CZ$42=$BI21)*($DC$3:$DC$42=$BI20)*$DB$3:$DB$42)+SUMPRODUCT(($CZ$3:$CZ$42=$BI22)*($DC$3:$DC$42=$BI20)*$DB$3:$DB$42)+SUMPRODUCT(($CZ$3:$CZ$42=$BI18)*($DC$3:$DC$42=$BI20)*$DB$3:$DB$42)+SUMPRODUCT(($CZ$3:$CZ$42=$BI19)*($DC$3:$DC$42=$BI20)*$DB$3:$DB$42)</f>
        <v>0</v>
      </c>
      <c r="BN20" s="169">
        <f>SUMPRODUCT(($CZ$3:$CZ$42=$BI20)*($DC$3:$DC$42=$BI21)*$DB$3:$DB$42)+SUMPRODUCT(($CZ$3:$CZ$42=$BI20)*($DC$3:$DC$42=$BI22)*$DB$3:$DB$42)+SUMPRODUCT(($CZ$3:$CZ$42=$BI20)*($DC$3:$DC$42=$BI18)*$DB$3:$DB$42)+SUMPRODUCT(($CZ$3:$CZ$42=$BI20)*($DC$3:$DC$42=$BI19)*$DB$3:$DB$42)+SUMPRODUCT(($CZ$3:$CZ$42=$BI21)*($DC$3:$DC$42=$BI20)*$DA$3:$DA$42)+SUMPRODUCT(($CZ$3:$CZ$42=$BI22)*($DC$3:$DC$42=$BI20)*$DA$3:$DA$42)+SUMPRODUCT(($CZ$3:$CZ$42=$BI18)*($DC$3:$DC$42=$BI20)*$DA$3:$DA$42)+SUMPRODUCT(($CZ$3:$CZ$42=$BI19)*($DC$3:$DC$42=$BI20)*$DA$3:$DA$42)</f>
        <v>0</v>
      </c>
      <c r="BO20" s="169">
        <f>BM20-BN20+1000</f>
        <v>1000</v>
      </c>
      <c r="BP20" s="169" t="str">
        <f>IF(BI20&lt;&gt;"",BJ20*3+BK20*1,"")</f>
        <v/>
      </c>
      <c r="BQ20" s="169" t="str">
        <f>IF(BI20&lt;&gt;"",VLOOKUP(BI20,$B$4:$H$40,7,FALSE),"")</f>
        <v/>
      </c>
      <c r="BR20" s="169" t="str">
        <f>IF(BI20&lt;&gt;"",VLOOKUP(BI20,$B$4:$H$40,5,FALSE),"")</f>
        <v/>
      </c>
      <c r="BS20" s="169" t="str">
        <f>IF(BI20&lt;&gt;"",VLOOKUP(BI20,$B$4:$J$40,9,FALSE),"")</f>
        <v/>
      </c>
      <c r="BT20" s="169" t="str">
        <f>BP20</f>
        <v/>
      </c>
      <c r="BU20" s="169" t="str">
        <f>IF(BI20&lt;&gt;"",RANK(BT20,BT$18:BT$22),"")</f>
        <v/>
      </c>
      <c r="BV20" s="169" t="str">
        <f>IF(BI20&lt;&gt;"",SUMPRODUCT((BT$18:BT$22=BT20)*(BO$18:BO$22&gt;BO20)),"")</f>
        <v/>
      </c>
      <c r="BW20" s="169" t="str">
        <f>IF(BI20&lt;&gt;"",SUMPRODUCT((BT$18:BT$22=BT20)*(BO$18:BO$22=BO20)*(BM$18:BM$22&gt;BM20)),"")</f>
        <v/>
      </c>
      <c r="BX20" s="169" t="str">
        <f>IF(BI20&lt;&gt;"",SUMPRODUCT((BT$18:BT$22=BT20)*(BO$18:BO$22=BO20)*(BM$18:BM$22=BM20)*(BQ$18:BQ$22&gt;BQ20)),"")</f>
        <v/>
      </c>
      <c r="BY20" s="169" t="str">
        <f>IF(BI20&lt;&gt;"",SUMPRODUCT((BT$18:BT$22=BT20)*(BO$18:BO$22=BO20)*(BM$18:BM$22=BM20)*(BQ$18:BQ$22=BQ20)*(BR$18:BR$22&gt;BR20)),"")</f>
        <v/>
      </c>
      <c r="BZ20" s="169" t="str">
        <f>IF(BI20&lt;&gt;"",SUMPRODUCT((BT$18:BT$22=BT20)*(BO$18:BO$22=BO20)*(BM$18:BM$22=BM20)*(BQ$18:BQ$22=BQ20)*(BR$18:BR$22=BR20)*(BS$18:BS$22&gt;BS20)),"")</f>
        <v/>
      </c>
      <c r="CA20" s="169" t="str">
        <f>IF(BI20&lt;&gt;"",SUM(BU20:BZ20)+2,"")</f>
        <v/>
      </c>
      <c r="CB20" s="169" t="str">
        <f>IF(BI20&lt;&gt;"",INDEX(BI20:BI22,MATCH(3,CA20:CA22,0),0),"")</f>
        <v/>
      </c>
      <c r="CW20" s="169" t="str">
        <f>IF(CB20&lt;&gt;"",CB20,IF(BH20&lt;&gt;"",BH20,IF(AN20&lt;&gt;"",AN20,N20)))</f>
        <v>Nordirland</v>
      </c>
      <c r="CX20" s="169">
        <v>3</v>
      </c>
      <c r="CY20" s="169">
        <v>18</v>
      </c>
      <c r="CZ20" s="169" t="str">
        <f>Tournament!H30</f>
        <v>Deutschland</v>
      </c>
      <c r="DA20" s="169">
        <f>IF(AND(Tournament!J30&lt;&gt;"",Tournament!L30&lt;&gt;""),Tournament!J30,0)</f>
        <v>0</v>
      </c>
      <c r="DB20" s="169">
        <f>IF(AND(Tournament!L30&lt;&gt;"",Tournament!J30&lt;&gt;""),Tournament!L30,0)</f>
        <v>0</v>
      </c>
      <c r="DC20" s="169" t="str">
        <f>Tournament!N30</f>
        <v>Polen</v>
      </c>
      <c r="DD20" s="169" t="str">
        <f>IF(AND(Tournament!J30&lt;&gt;"",Tournament!L30&lt;&gt;""),IF(DA20&gt;DB20,"W",IF(DA20=DB20,"D","L")),"")</f>
        <v>D</v>
      </c>
      <c r="DE20" s="169" t="str">
        <f t="shared" si="6"/>
        <v>D</v>
      </c>
      <c r="DH20" s="172" t="s">
        <v>22</v>
      </c>
      <c r="DI20" s="173" t="s">
        <v>10</v>
      </c>
      <c r="DJ20" s="173" t="s">
        <v>20</v>
      </c>
      <c r="DK20" s="173" t="s">
        <v>219</v>
      </c>
      <c r="DL20" s="172" t="s">
        <v>10</v>
      </c>
      <c r="DM20" s="172" t="s">
        <v>20</v>
      </c>
      <c r="DN20" s="172" t="s">
        <v>22</v>
      </c>
      <c r="DO20" s="172" t="s">
        <v>219</v>
      </c>
      <c r="DP20" s="173"/>
      <c r="DQ20" s="174">
        <f t="shared" si="7"/>
        <v>0</v>
      </c>
      <c r="DR20" s="174">
        <f t="shared" si="7"/>
        <v>0</v>
      </c>
      <c r="DS20" s="174">
        <f t="shared" si="7"/>
        <v>4</v>
      </c>
      <c r="DT20" s="174">
        <f t="shared" si="7"/>
        <v>2</v>
      </c>
      <c r="DU20" s="174">
        <f t="shared" si="8"/>
        <v>6</v>
      </c>
      <c r="DV20" s="173"/>
      <c r="DW20" s="173" t="s">
        <v>431</v>
      </c>
      <c r="DX20" s="173"/>
    </row>
    <row r="21" spans="1:128" x14ac:dyDescent="0.2">
      <c r="A21" s="169">
        <f>IF(V17="A",VLOOKUP(B21,$CW$18:$CX$22,2,FALSE),1)</f>
        <v>3</v>
      </c>
      <c r="B21" s="169" t="str">
        <f>'Countries and Timezone'!C18</f>
        <v>Nordirland</v>
      </c>
      <c r="C21" s="169">
        <f>SUMPRODUCT(($CZ$3:$CZ$42=$B21)*($DD$3:$DD$42="W"))+SUMPRODUCT(($DC$3:$DC$42=$B21)*($DE$3:$DE$42="W"))</f>
        <v>1</v>
      </c>
      <c r="D21" s="169">
        <f>SUMPRODUCT(($CZ$3:$CZ$42=$B21)*($DD$3:$DD$42="D"))+SUMPRODUCT(($DC$3:$DC$42=$B21)*($DE$3:$DE$42="D"))</f>
        <v>0</v>
      </c>
      <c r="E21" s="169">
        <f>SUMPRODUCT(($CZ$3:$CZ$42=$B21)*($DD$3:$DD$42="L"))+SUMPRODUCT(($DC$3:$DC$42=$B21)*($DE$3:$DE$42="L"))</f>
        <v>2</v>
      </c>
      <c r="F21" s="169">
        <f>SUMIF($CZ$3:$CZ$60,B21,$DA$3:$DA$60)+SUMIF($DC$3:$DC$60,B21,$DB$3:$DB$60)</f>
        <v>2</v>
      </c>
      <c r="G21" s="169">
        <f>SUMIF($DC$3:$DC$60,B21,$DA$3:$DA$60)+SUMIF($CZ$3:$CZ$60,B21,$DB$3:$DB$60)</f>
        <v>2</v>
      </c>
      <c r="H21" s="169">
        <f>F21-G21+1000</f>
        <v>1000</v>
      </c>
      <c r="I21" s="169">
        <f>C21*3+D21*1</f>
        <v>3</v>
      </c>
      <c r="J21" s="169">
        <v>13</v>
      </c>
      <c r="K21" s="169">
        <f>RANK(I21,I$18:I$22)</f>
        <v>3</v>
      </c>
      <c r="M21" s="169">
        <f>RANK(I21,$I$18:$I$22)+COUNTIF($I$18:I21,I21)-1</f>
        <v>3</v>
      </c>
      <c r="N21" s="169" t="str">
        <f>INDEX($B$18:$B$22,MATCH(4,$M$18:$M$22,0),0)</f>
        <v>Ukraine</v>
      </c>
      <c r="O21" s="169">
        <f>INDEX($K$18:$K$22,MATCH(N21,$B$18:$B$22,0),0)</f>
        <v>4</v>
      </c>
      <c r="P21" s="169" t="str">
        <f>IF(AND(P20&lt;&gt;"",O21=1),N21,"")</f>
        <v/>
      </c>
      <c r="Q21" s="169" t="str">
        <f>IF(AND(Q20&lt;&gt;"",O22=2),N22,"")</f>
        <v/>
      </c>
      <c r="U21" s="169" t="str">
        <f>IF(P21&lt;&gt;"",P21,"")</f>
        <v/>
      </c>
      <c r="V21" s="169">
        <f>SUMPRODUCT(($CZ$3:$CZ$42=$U21)*($DC$3:$DC$42=$U22)*($DD$3:$DD$42="W"))+SUMPRODUCT(($CZ$3:$CZ$42=$U21)*($DC$3:$DC$42=$U18)*($DD$3:$DD$42="W"))+SUMPRODUCT(($CZ$3:$CZ$42=$U21)*($DC$3:$DC$42=$U19)*($DD$3:$DD$42="W"))+SUMPRODUCT(($CZ$3:$CZ$42=$U21)*($DC$3:$DC$42=$U20)*($DD$3:$DD$42="W"))+SUMPRODUCT(($CZ$3:$CZ$42=$U22)*($DC$3:$DC$42=$U21)*($DE$3:$DE$42="W"))+SUMPRODUCT(($CZ$3:$CZ$42=$U18)*($DC$3:$DC$42=$U21)*($DE$3:$DE$42="W"))+SUMPRODUCT(($CZ$3:$CZ$42=$U19)*($DC$3:$DC$42=$U21)*($DE$3:$DE$42="W"))+SUMPRODUCT(($CZ$3:$CZ$42=$U20)*($DC$3:$DC$42=$U21)*($DE$3:$DE$42="W"))</f>
        <v>0</v>
      </c>
      <c r="W21" s="169">
        <f>SUMPRODUCT(($CZ$3:$CZ$42=$U21)*($DC$3:$DC$42=$U22)*($DD$3:$DD$42="D"))+SUMPRODUCT(($CZ$3:$CZ$42=$U21)*($DC$3:$DC$42=$U18)*($DD$3:$DD$42="D"))+SUMPRODUCT(($CZ$3:$CZ$42=$U21)*($DC$3:$DC$42=$U19)*($DD$3:$DD$42="D"))+SUMPRODUCT(($CZ$3:$CZ$42=$U21)*($DC$3:$DC$42=$U20)*($DD$3:$DD$42="D"))+SUMPRODUCT(($CZ$3:$CZ$42=$U22)*($DC$3:$DC$42=$U21)*($DD$3:$DD$42="D"))+SUMPRODUCT(($CZ$3:$CZ$42=$U18)*($DC$3:$DC$42=$U21)*($DD$3:$DD$42="D"))+SUMPRODUCT(($CZ$3:$CZ$42=$U19)*($DC$3:$DC$42=$U21)*($DD$3:$DD$42="D"))+SUMPRODUCT(($CZ$3:$CZ$42=$U20)*($DC$3:$DC$42=$U21)*($DD$3:$DD$42="D"))</f>
        <v>0</v>
      </c>
      <c r="X21" s="169">
        <f>SUMPRODUCT(($CZ$3:$CZ$42=$U21)*($DC$3:$DC$42=$U22)*($DD$3:$DD$42="L"))+SUMPRODUCT(($CZ$3:$CZ$42=$U21)*($DC$3:$DC$42=$U18)*($DD$3:$DD$42="L"))+SUMPRODUCT(($CZ$3:$CZ$42=$U21)*($DC$3:$DC$42=$U19)*($DD$3:$DD$42="L"))+SUMPRODUCT(($CZ$3:$CZ$42=$U21)*($DC$3:$DC$42=$U20)*($DD$3:$DD$42="L"))+SUMPRODUCT(($CZ$3:$CZ$42=$U22)*($DC$3:$DC$42=$U21)*($DE$3:$DE$42="L"))+SUMPRODUCT(($CZ$3:$CZ$42=$U18)*($DC$3:$DC$42=$U21)*($DE$3:$DE$42="L"))+SUMPRODUCT(($CZ$3:$CZ$42=$U19)*($DC$3:$DC$42=$U21)*($DE$3:$DE$42="L"))+SUMPRODUCT(($CZ$3:$CZ$42=$U20)*($DC$3:$DC$42=$U21)*($DE$3:$DE$42="L"))</f>
        <v>0</v>
      </c>
      <c r="Y21" s="169">
        <f>SUMPRODUCT(($CZ$3:$CZ$42=$U21)*($DC$3:$DC$42=$U22)*$DA$3:$DA$42)+SUMPRODUCT(($CZ$3:$CZ$42=$U21)*($DC$3:$DC$42=$U18)*$DA$3:$DA$42)+SUMPRODUCT(($CZ$3:$CZ$42=$U21)*($DC$3:$DC$42=$U19)*$DA$3:$DA$42)+SUMPRODUCT(($CZ$3:$CZ$42=$U21)*($DC$3:$DC$42=$U20)*$DA$3:$DA$42)+SUMPRODUCT(($CZ$3:$CZ$42=$U22)*($DC$3:$DC$42=$U21)*$DB$3:$DB$42)+SUMPRODUCT(($CZ$3:$CZ$42=$U18)*($DC$3:$DC$42=$U21)*$DB$3:$DB$42)+SUMPRODUCT(($CZ$3:$CZ$42=$U19)*($DC$3:$DC$42=$U21)*$DB$3:$DB$42)+SUMPRODUCT(($CZ$3:$CZ$42=$U20)*($DC$3:$DC$42=$U21)*$DB$3:$DB$42)</f>
        <v>0</v>
      </c>
      <c r="Z21" s="169">
        <f>SUMPRODUCT(($CZ$3:$CZ$42=$U21)*($DC$3:$DC$42=$U22)*$DB$3:$DB$42)+SUMPRODUCT(($CZ$3:$CZ$42=$U21)*($DC$3:$DC$42=$U18)*$DB$3:$DB$42)+SUMPRODUCT(($CZ$3:$CZ$42=$U21)*($DC$3:$DC$42=$U19)*$DB$3:$DB$42)+SUMPRODUCT(($CZ$3:$CZ$42=$U21)*($DC$3:$DC$42=$U20)*$DB$3:$DB$42)+SUMPRODUCT(($CZ$3:$CZ$42=$U22)*($DC$3:$DC$42=$U21)*$DA$3:$DA$42)+SUMPRODUCT(($CZ$3:$CZ$42=$U18)*($DC$3:$DC$42=$U21)*$DA$3:$DA$42)+SUMPRODUCT(($CZ$3:$CZ$42=$U19)*($DC$3:$DC$42=$U21)*$DA$3:$DA$42)+SUMPRODUCT(($CZ$3:$CZ$42=$U20)*($DC$3:$DC$42=$U21)*$DA$3:$DA$42)</f>
        <v>0</v>
      </c>
      <c r="AA21" s="169">
        <f>Y21-Z21+1000</f>
        <v>1000</v>
      </c>
      <c r="AB21" s="169" t="str">
        <f>IF(U21&lt;&gt;"",V21*3+W21*1,"")</f>
        <v/>
      </c>
      <c r="AC21" s="169" t="str">
        <f>IF(U21&lt;&gt;"",VLOOKUP(U21,$B$4:$H$40,7,FALSE),"")</f>
        <v/>
      </c>
      <c r="AD21" s="169" t="str">
        <f>IF(U21&lt;&gt;"",VLOOKUP(U21,$B$4:$H$40,5,FALSE),"")</f>
        <v/>
      </c>
      <c r="AE21" s="169" t="str">
        <f>IF(U21&lt;&gt;"",VLOOKUP(U21,$B$4:$J$40,9,FALSE),"")</f>
        <v/>
      </c>
      <c r="AF21" s="169" t="str">
        <f>AB21</f>
        <v/>
      </c>
      <c r="AG21" s="169" t="str">
        <f>IF(U21&lt;&gt;"",RANK(AF21,AF$18:AF$22),"")</f>
        <v/>
      </c>
      <c r="AH21" s="169" t="str">
        <f>IF(U21&lt;&gt;"",SUMPRODUCT((AF$18:AF$22=AF21)*(AA$18:AA$22&gt;AA21)),"")</f>
        <v/>
      </c>
      <c r="AI21" s="169" t="str">
        <f>IF(U21&lt;&gt;"",SUMPRODUCT((AF$18:AF$22=AF21)*(AA$18:AA$22=AA21)*(Y$18:Y$22&gt;Y21)),"")</f>
        <v/>
      </c>
      <c r="AJ21" s="169" t="str">
        <f>IF(U21&lt;&gt;"",SUMPRODUCT((AF$18:AF$22=AF21)*(AA$18:AA$22=AA21)*(Y$18:Y$22=Y21)*(AC$18:AC$22&gt;AC21)),"")</f>
        <v/>
      </c>
      <c r="AK21" s="169" t="str">
        <f>IF(U21&lt;&gt;"",SUMPRODUCT((AF$18:AF$22=AF21)*(AA$18:AA$22=AA21)*(Y$18:Y$22=Y21)*(AC$18:AC$22=AC21)*(AD$18:AD$22&gt;AD21)),"")</f>
        <v/>
      </c>
      <c r="AL21" s="169" t="str">
        <f>IF(U21&lt;&gt;"",SUMPRODUCT((AF$18:AF$22=AF21)*(AA$18:AA$22=AA21)*(Y$18:Y$22=Y21)*(AC$18:AC$22=AC21)*(AD$18:AD$22=AD21)*(AE$18:AE$22&gt;AE21)),"")</f>
        <v/>
      </c>
      <c r="AM21" s="169" t="str">
        <f>IF(U21&lt;&gt;"",SUM(AG21:AL21),"")</f>
        <v/>
      </c>
      <c r="AN21" s="169" t="str">
        <f>IF(U21&lt;&gt;"",INDEX($U$18:$U$22,MATCH(4,$AM$18:$AM$22,0),0),"")</f>
        <v/>
      </c>
      <c r="AO21" s="169" t="str">
        <f>IF(Q20&lt;&gt;"",Q20,"")</f>
        <v/>
      </c>
      <c r="AP21" s="169" t="str">
        <f>IF($AO21&lt;&gt;"",SUMPRODUCT(($CZ$3:$CZ$42=$AO21)*($DC$3:$DC$42=$AO22)*($DD$3:$DD$42="W"))+SUMPRODUCT(($CZ$3:$CZ$42=$AO21)*($DC$3:$DC$42=$AO19)*($DD$3:$DD$42="W"))+SUMPRODUCT(($CZ$3:$CZ$42=$AO21)*($DC$3:$DC$42=$AO20)*($DD$3:$DD$42="W"))+SUMPRODUCT(($CZ$3:$CZ$42=$AO22)*($DC$3:$DC$42=$AO21)*($DE$3:$DE$42="W"))+SUMPRODUCT(($CZ$3:$CZ$42=$AO19)*($DC$3:$DC$42=$AO21)*($DE$3:$DE$42="W"))+SUMPRODUCT(($CZ$3:$CZ$42=$AO20)*($DC$3:$DC$42=$AO21)*($DE$3:$DE$42="W")),"")</f>
        <v/>
      </c>
      <c r="AQ21" s="169" t="str">
        <f>IF($AO21&lt;&gt;"",SUMPRODUCT(($CZ$3:$CZ$42=$AO21)*($DC$3:$DC$42=$AO22)*($DD$3:$DD$42="D"))+SUMPRODUCT(($CZ$3:$CZ$42=$AO21)*($DC$3:$DC$42=$AO19)*($DD$3:$DD$42="D"))+SUMPRODUCT(($CZ$3:$CZ$42=$AO21)*($DC$3:$DC$42=$AO20)*($DD$3:$DD$42="D"))+SUMPRODUCT(($CZ$3:$CZ$42=$AO22)*($DC$3:$DC$42=$AO21)*($DD$3:$DD$42="D"))+SUMPRODUCT(($CZ$3:$CZ$42=$AO19)*($DC$3:$DC$42=$AO21)*($DD$3:$DD$42="D"))+SUMPRODUCT(($CZ$3:$CZ$42=$AO20)*($DC$3:$DC$42=$AO21)*($DD$3:$DD$42="D")),"")</f>
        <v/>
      </c>
      <c r="AR21" s="169" t="str">
        <f>IF($AO21&lt;&gt;"",SUMPRODUCT(($CZ$3:$CZ$42=$AO21)*($DC$3:$DC$42=$AO22)*($DD$3:$DD$42="L"))+SUMPRODUCT(($CZ$3:$CZ$42=$AO21)*($DC$3:$DC$42=$AO19)*($DD$3:$DD$42="L"))+SUMPRODUCT(($CZ$3:$CZ$42=$AO21)*($DC$3:$DC$42=$AO20)*($DD$3:$DD$42="L"))+SUMPRODUCT(($CZ$3:$CZ$42=$AO22)*($DC$3:$DC$42=$AO21)*($DE$3:$DE$42="L"))+SUMPRODUCT(($CZ$3:$CZ$42=$AO19)*($DC$3:$DC$42=$AO21)*($DE$3:$DE$42="L"))+SUMPRODUCT(($CZ$3:$CZ$42=$AO20)*($DC$3:$DC$42=$AO21)*($DE$3:$DE$42="L")),"")</f>
        <v/>
      </c>
      <c r="AS21" s="169">
        <f>SUMPRODUCT(($CZ$3:$CZ$42=$AO21)*($DC$3:$DC$42=$AO22)*$DA$3:$DA$42)+SUMPRODUCT(($CZ$3:$CZ$42=$AO21)*($DC$3:$DC$42=$AO18)*$DA$3:$DA$42)+SUMPRODUCT(($CZ$3:$CZ$42=$AO21)*($DC$3:$DC$42=$AO19)*$DA$3:$DA$42)+SUMPRODUCT(($CZ$3:$CZ$42=$AO21)*($DC$3:$DC$42=$AO20)*$DA$3:$DA$42)+SUMPRODUCT(($CZ$3:$CZ$42=$AO22)*($DC$3:$DC$42=$AO21)*$DB$3:$DB$42)+SUMPRODUCT(($CZ$3:$CZ$42=$AO18)*($DC$3:$DC$42=$AO21)*$DB$3:$DB$42)+SUMPRODUCT(($CZ$3:$CZ$42=$AO19)*($DC$3:$DC$42=$AO21)*$DB$3:$DB$42)+SUMPRODUCT(($CZ$3:$CZ$42=$AO20)*($DC$3:$DC$42=$AO21)*$DB$3:$DB$42)</f>
        <v>0</v>
      </c>
      <c r="AT21" s="169">
        <f>SUMPRODUCT(($CZ$3:$CZ$42=$AO21)*($DC$3:$DC$42=$AO22)*$DB$3:$DB$42)+SUMPRODUCT(($CZ$3:$CZ$42=$AO21)*($DC$3:$DC$42=$AO18)*$DB$3:$DB$42)+SUMPRODUCT(($CZ$3:$CZ$42=$AO21)*($DC$3:$DC$42=$AO19)*$DB$3:$DB$42)+SUMPRODUCT(($CZ$3:$CZ$42=$AO21)*($DC$3:$DC$42=$AO20)*$DB$3:$DB$42)+SUMPRODUCT(($CZ$3:$CZ$42=$AO22)*($DC$3:$DC$42=$AO21)*$DA$3:$DA$42)+SUMPRODUCT(($CZ$3:$CZ$42=$AO18)*($DC$3:$DC$42=$AO21)*$DA$3:$DA$42)+SUMPRODUCT(($CZ$3:$CZ$42=$AO19)*($DC$3:$DC$42=$AO21)*$DA$3:$DA$42)+SUMPRODUCT(($CZ$3:$CZ$42=$AO20)*($DC$3:$DC$42=$AO21)*$DA$3:$DA$42)</f>
        <v>0</v>
      </c>
      <c r="AU21" s="169">
        <f>AS21-AT21+1000</f>
        <v>1000</v>
      </c>
      <c r="AV21" s="169" t="str">
        <f>IF(AO21&lt;&gt;"",AP21*3+AQ21*1,"")</f>
        <v/>
      </c>
      <c r="AW21" s="169" t="str">
        <f>IF(AO21&lt;&gt;"",VLOOKUP(AO21,$B$4:$H$40,7,FALSE),"")</f>
        <v/>
      </c>
      <c r="AX21" s="169" t="str">
        <f>IF(AO21&lt;&gt;"",VLOOKUP(AO21,$B$4:$H$40,5,FALSE),"")</f>
        <v/>
      </c>
      <c r="AY21" s="169" t="str">
        <f>IF(AO21&lt;&gt;"",VLOOKUP(AO21,$B$4:$J$40,9,FALSE),"")</f>
        <v/>
      </c>
      <c r="AZ21" s="169" t="str">
        <f>AV21</f>
        <v/>
      </c>
      <c r="BA21" s="169" t="str">
        <f>IF(AO21&lt;&gt;"",RANK(AZ21,AZ$18:AZ$22),"")</f>
        <v/>
      </c>
      <c r="BB21" s="169" t="str">
        <f>IF(AO21&lt;&gt;"",SUMPRODUCT((AZ$18:AZ$22=AZ21)*(AU$18:AU$22&gt;AU21)),"")</f>
        <v/>
      </c>
      <c r="BC21" s="169" t="str">
        <f>IF(AO21&lt;&gt;"",SUMPRODUCT((AZ$18:AZ$22=AZ21)*(AU$18:AU$22=AU21)*(AS$18:AS$22&gt;AS21)),"")</f>
        <v/>
      </c>
      <c r="BD21" s="169" t="str">
        <f>IF(AO21&lt;&gt;"",SUMPRODUCT((AZ$18:AZ$22=AZ21)*(AU$18:AU$22=AU21)*(AS$18:AS$22=AS21)*(AW$18:AW$22&gt;AW21)),"")</f>
        <v/>
      </c>
      <c r="BE21" s="169" t="str">
        <f>IF(AO21&lt;&gt;"",SUMPRODUCT((AZ$18:AZ$22=AZ21)*(AU$18:AU$22=AU21)*(AS$18:AS$22=AS21)*(AW$18:AW$22=AW21)*(AX$18:AX$22&gt;AX21)),"")</f>
        <v/>
      </c>
      <c r="BF21" s="169" t="str">
        <f>IF(AO21&lt;&gt;"",SUMPRODUCT((AZ$18:AZ$22=AZ21)*(AU$18:AU$22=AU21)*(AS$18:AS$22=AS21)*(AW$18:AW$22=AW21)*(AX$18:AX$22=AX21)*(AY$18:AY$22&gt;AY21)),"")</f>
        <v/>
      </c>
      <c r="BG21" s="169" t="str">
        <f>IF(AO21&lt;&gt;"",SUM(BA21:BF21)+1,"")</f>
        <v/>
      </c>
      <c r="BH21" s="169" t="str">
        <f>IF(AO21&lt;&gt;"",INDEX(AO19:AO22,MATCH(4,BG19:BG22,0),0),"")</f>
        <v/>
      </c>
      <c r="BI21" s="169" t="str">
        <f>IF(R19&lt;&gt;"",R19,"")</f>
        <v/>
      </c>
      <c r="BJ21" s="169">
        <f>SUMPRODUCT(($CZ$3:$CZ$42=$BI21)*($DC$3:$DC$42=$BI22)*($DD$3:$DD$42="W"))+SUMPRODUCT(($CZ$3:$CZ$42=$BI21)*($DC$3:$DC$42=$BI23)*($DD$3:$DD$42="W"))+SUMPRODUCT(($CZ$3:$CZ$42=$BI21)*($DC$3:$DC$42=$BI20)*($DD$3:$DD$42="W"))+SUMPRODUCT(($CZ$3:$CZ$42=$BI22)*($DC$3:$DC$42=$BI21)*($DE$3:$DE$42="W"))+SUMPRODUCT(($CZ$3:$CZ$42=$BI23)*($DC$3:$DC$42=$BI21)*($DE$3:$DE$42="W"))+SUMPRODUCT(($CZ$3:$CZ$42=$BI20)*($DC$3:$DC$42=$BI21)*($DE$3:$DE$42="W"))</f>
        <v>0</v>
      </c>
      <c r="BK21" s="169">
        <f>SUMPRODUCT(($CZ$3:$CZ$42=$BI21)*($DC$3:$DC$42=$BI22)*($DD$3:$DD$42="D"))+SUMPRODUCT(($CZ$3:$CZ$42=$BI21)*($DC$3:$DC$42=$BI23)*($DD$3:$DD$42="D"))+SUMPRODUCT(($CZ$3:$CZ$42=$BI21)*($DC$3:$DC$42=$BI20)*($DD$3:$DD$42="D"))+SUMPRODUCT(($CZ$3:$CZ$42=$BI22)*($DC$3:$DC$42=$BI21)*($DD$3:$DD$42="D"))+SUMPRODUCT(($CZ$3:$CZ$42=$BI23)*($DC$3:$DC$42=$BI21)*($DD$3:$DD$42="D"))+SUMPRODUCT(($CZ$3:$CZ$42=$BI20)*($DC$3:$DC$42=$BI21)*($DD$3:$DD$42="D"))</f>
        <v>0</v>
      </c>
      <c r="BL21" s="169">
        <f>SUMPRODUCT(($CZ$3:$CZ$42=$BI21)*($DC$3:$DC$42=$BI22)*($DD$3:$DD$42="L"))+SUMPRODUCT(($CZ$3:$CZ$42=$BI21)*($DC$3:$DC$42=$BI23)*($DD$3:$DD$42="L"))+SUMPRODUCT(($CZ$3:$CZ$42=$BI21)*($DC$3:$DC$42=$BI20)*($DD$3:$DD$42="L"))+SUMPRODUCT(($CZ$3:$CZ$42=$BI22)*($DC$3:$DC$42=$BI21)*($DE$3:$DE$42="L"))+SUMPRODUCT(($CZ$3:$CZ$42=$BI23)*($DC$3:$DC$42=$BI21)*($DE$3:$DE$42="L"))+SUMPRODUCT(($CZ$3:$CZ$42=$BI20)*($DC$3:$DC$42=$BI21)*($DE$3:$DE$42="L"))</f>
        <v>0</v>
      </c>
      <c r="BM21" s="169">
        <f>SUMPRODUCT(($CZ$3:$CZ$42=$BI21)*($DC$3:$DC$42=$BI22)*$DA$3:$DA$42)+SUMPRODUCT(($CZ$3:$CZ$42=$BI21)*($DC$3:$DC$42=$BI18)*$DA$3:$DA$42)+SUMPRODUCT(($CZ$3:$CZ$42=$BI21)*($DC$3:$DC$42=$BI19)*$DA$3:$DA$42)+SUMPRODUCT(($CZ$3:$CZ$42=$BI21)*($DC$3:$DC$42=$BI20)*$DA$3:$DA$42)+SUMPRODUCT(($CZ$3:$CZ$42=$BI22)*($DC$3:$DC$42=$BI21)*$DB$3:$DB$42)+SUMPRODUCT(($CZ$3:$CZ$42=$BI18)*($DC$3:$DC$42=$BI21)*$DB$3:$DB$42)+SUMPRODUCT(($CZ$3:$CZ$42=$BI19)*($DC$3:$DC$42=$BI21)*$DB$3:$DB$42)+SUMPRODUCT(($CZ$3:$CZ$42=$BI20)*($DC$3:$DC$42=$BI21)*$DB$3:$DB$42)</f>
        <v>0</v>
      </c>
      <c r="BN21" s="169">
        <f>SUMPRODUCT(($CZ$3:$CZ$42=$BI21)*($DC$3:$DC$42=$BI22)*$DB$3:$DB$42)+SUMPRODUCT(($CZ$3:$CZ$42=$BI21)*($DC$3:$DC$42=$BI18)*$DB$3:$DB$42)+SUMPRODUCT(($CZ$3:$CZ$42=$BI21)*($DC$3:$DC$42=$BI19)*$DB$3:$DB$42)+SUMPRODUCT(($CZ$3:$CZ$42=$BI21)*($DC$3:$DC$42=$BI20)*$DB$3:$DB$42)+SUMPRODUCT(($CZ$3:$CZ$42=$BI22)*($DC$3:$DC$42=$BI21)*$DA$3:$DA$42)+SUMPRODUCT(($CZ$3:$CZ$42=$BI18)*($DC$3:$DC$42=$BI21)*$DA$3:$DA$42)+SUMPRODUCT(($CZ$3:$CZ$42=$BI19)*($DC$3:$DC$42=$BI21)*$DA$3:$DA$42)+SUMPRODUCT(($CZ$3:$CZ$42=$BI20)*($DC$3:$DC$42=$BI21)*$DA$3:$DA$42)</f>
        <v>0</v>
      </c>
      <c r="BO21" s="169">
        <f>BM21-BN21+1000</f>
        <v>1000</v>
      </c>
      <c r="BP21" s="169" t="str">
        <f>IF(BI21&lt;&gt;"",BJ21*3+BK21*1,"")</f>
        <v/>
      </c>
      <c r="BQ21" s="169" t="str">
        <f>IF(BI21&lt;&gt;"",VLOOKUP(BI21,$B$4:$H$40,7,FALSE),"")</f>
        <v/>
      </c>
      <c r="BR21" s="169" t="str">
        <f>IF(BI21&lt;&gt;"",VLOOKUP(BI21,$B$4:$H$40,5,FALSE),"")</f>
        <v/>
      </c>
      <c r="BS21" s="169" t="str">
        <f>IF(BI21&lt;&gt;"",VLOOKUP(BI21,$B$4:$J$40,9,FALSE),"")</f>
        <v/>
      </c>
      <c r="BT21" s="169" t="str">
        <f>BP21</f>
        <v/>
      </c>
      <c r="BU21" s="169" t="str">
        <f>IF(BI21&lt;&gt;"",RANK(BT21,BT$18:BT$22),"")</f>
        <v/>
      </c>
      <c r="BV21" s="169" t="str">
        <f>IF(BI21&lt;&gt;"",SUMPRODUCT((BT$18:BT$22=BT21)*(BO$18:BO$22&gt;BO21)),"")</f>
        <v/>
      </c>
      <c r="BW21" s="169" t="str">
        <f>IF(BI21&lt;&gt;"",SUMPRODUCT((BT$18:BT$22=BT21)*(BO$18:BO$22=BO21)*(BM$18:BM$22&gt;BM21)),"")</f>
        <v/>
      </c>
      <c r="BX21" s="169" t="str">
        <f>IF(BI21&lt;&gt;"",SUMPRODUCT((BT$18:BT$22=BT21)*(BO$18:BO$22=BO21)*(BM$18:BM$22=BM21)*(BQ$18:BQ$22&gt;BQ21)),"")</f>
        <v/>
      </c>
      <c r="BY21" s="169" t="str">
        <f>IF(BI21&lt;&gt;"",SUMPRODUCT((BT$18:BT$22=BT21)*(BO$18:BO$22=BO21)*(BM$18:BM$22=BM21)*(BQ$18:BQ$22=BQ21)*(BR$18:BR$22&gt;BR21)),"")</f>
        <v/>
      </c>
      <c r="BZ21" s="169" t="str">
        <f>IF(BI21&lt;&gt;"",SUMPRODUCT((BT$18:BT$22=BT21)*(BO$18:BO$22=BO21)*(BM$18:BM$22=BM21)*(BQ$18:BQ$22=BQ21)*(BR$18:BR$22=BR21)*(BS$18:BS$22&gt;BS21)),"")</f>
        <v/>
      </c>
      <c r="CA21" s="169" t="str">
        <f>IF(BI21&lt;&gt;"",SUM(BU21:BZ21)+2,"")</f>
        <v/>
      </c>
      <c r="CB21" s="169" t="str">
        <f>IF(BI21&lt;&gt;"",INDEX(BI20:BI22,MATCH(4,CA20:CA22,0),0),"")</f>
        <v/>
      </c>
      <c r="CC21" s="169" t="str">
        <f>IF(S18&lt;&gt;"",S18,"")</f>
        <v/>
      </c>
      <c r="CD21" s="169">
        <f>SUMPRODUCT(($CZ$3:$CZ$42=$CC21)*($DC$3:$DC$42=$CC22)*($DD$3:$DD$42="W"))+SUMPRODUCT(($CZ$3:$CZ$42=$CC21)*($DC$3:$DC$42=$CC23)*($DD$3:$DD$42="W"))+SUMPRODUCT(($CZ$3:$CZ$42=$CC21)*($DC$3:$DC$42=$CC24)*($DD$3:$DD$42="W"))+SUMPRODUCT(($CZ$3:$CZ$42=$CC22)*($DC$3:$DC$42=$CC21)*($DE$3:$DE$42="W"))+SUMPRODUCT(($CZ$3:$CZ$42=$CC23)*($DC$3:$DC$42=$CC21)*($DE$3:$DE$42="W"))+SUMPRODUCT(($CZ$3:$CZ$42=$CC24)*($DC$3:$DC$42=$CC21)*($DE$3:$DE$42="W"))</f>
        <v>0</v>
      </c>
      <c r="CE21" s="169">
        <f>SUMPRODUCT(($CZ$3:$CZ$42=$CC21)*($DC$3:$DC$42=$CC22)*($DD$3:$DD$42="D"))+SUMPRODUCT(($CZ$3:$CZ$42=$CC21)*($DC$3:$DC$42=$CC23)*($DD$3:$DD$42="D"))+SUMPRODUCT(($CZ$3:$CZ$42=$CC21)*($DC$3:$DC$42=$CC24)*($DD$3:$DD$42="D"))+SUMPRODUCT(($CZ$3:$CZ$42=$CC22)*($DC$3:$DC$42=$CC21)*($DD$3:$DD$42="D"))+SUMPRODUCT(($CZ$3:$CZ$42=$CC23)*($DC$3:$DC$42=$CC21)*($DD$3:$DD$42="D"))+SUMPRODUCT(($CZ$3:$CZ$42=$CC24)*($DC$3:$DC$42=$CC21)*($DD$3:$DD$42="D"))</f>
        <v>0</v>
      </c>
      <c r="CF21" s="169">
        <f>SUMPRODUCT(($CZ$3:$CZ$42=$CC21)*($DC$3:$DC$42=$CC22)*($DD$3:$DD$42="L"))+SUMPRODUCT(($CZ$3:$CZ$42=$CC21)*($DC$3:$DC$42=$CC23)*($DD$3:$DD$42="L"))+SUMPRODUCT(($CZ$3:$CZ$42=$CC21)*($DC$3:$DC$42=$CC24)*($DD$3:$DD$42="L"))+SUMPRODUCT(($CZ$3:$CZ$42=$CC22)*($DC$3:$DC$42=$CC21)*($DE$3:$DE$42="L"))+SUMPRODUCT(($CZ$3:$CZ$42=$CC23)*($DC$3:$DC$42=$CC21)*($DE$3:$DE$42="L"))+SUMPRODUCT(($CZ$3:$CZ$42=$CC24)*($DC$3:$DC$42=$CC21)*($DE$3:$DE$42="L"))</f>
        <v>0</v>
      </c>
      <c r="CG21" s="169">
        <f>SUMPRODUCT(($CZ$3:$CZ$42=$CC21)*($DC$3:$DC$42=$CC22)*$DA$3:$DA$42)+SUMPRODUCT(($CZ$3:$CZ$42=$CC21)*($DC$3:$DC$42=$CC18)*$DA$3:$DA$42)+SUMPRODUCT(($CZ$3:$CZ$42=$CC21)*($DC$3:$DC$42=$CC19)*$DA$3:$DA$42)+SUMPRODUCT(($CZ$3:$CZ$42=$CC21)*($DC$3:$DC$42=$CC20)*$DA$3:$DA$42)+SUMPRODUCT(($CZ$3:$CZ$42=$CC22)*($DC$3:$DC$42=$CC21)*$DB$3:$DB$42)+SUMPRODUCT(($CZ$3:$CZ$42=$CC18)*($DC$3:$DC$42=$CC21)*$DB$3:$DB$42)+SUMPRODUCT(($CZ$3:$CZ$42=$CC19)*($DC$3:$DC$42=$CC21)*$DB$3:$DB$42)+SUMPRODUCT(($CZ$3:$CZ$42=$CC20)*($DC$3:$DC$42=$CC21)*$DB$3:$DB$42)</f>
        <v>0</v>
      </c>
      <c r="CH21" s="169">
        <f>SUMPRODUCT(($CZ$3:$CZ$42=$CC21)*($DC$3:$DC$42=$CC22)*$DB$3:$DB$42)+SUMPRODUCT(($CZ$3:$CZ$42=$CC21)*($DC$3:$DC$42=$CC18)*$DB$3:$DB$42)+SUMPRODUCT(($CZ$3:$CZ$42=$CC21)*($DC$3:$DC$42=$CC19)*$DB$3:$DB$42)+SUMPRODUCT(($CZ$3:$CZ$42=$CC21)*($DC$3:$DC$42=$CC20)*$DB$3:$DB$42)+SUMPRODUCT(($CZ$3:$CZ$42=$CC22)*($DC$3:$DC$42=$CC21)*$DA$3:$DA$42)+SUMPRODUCT(($CZ$3:$CZ$42=$CC18)*($DC$3:$DC$42=$CC21)*$DA$3:$DA$42)+SUMPRODUCT(($CZ$3:$CZ$42=$CC19)*($DC$3:$DC$42=$CC21)*$DA$3:$DA$42)+SUMPRODUCT(($CZ$3:$CZ$42=$CC20)*($DC$3:$DC$42=$CC21)*$DA$3:$DA$42)</f>
        <v>0</v>
      </c>
      <c r="CI21" s="169">
        <f>CG21-CH21+1000</f>
        <v>1000</v>
      </c>
      <c r="CJ21" s="169" t="str">
        <f>IF(CC21&lt;&gt;"",CD21*3+CE21*1,"")</f>
        <v/>
      </c>
      <c r="CK21" s="169" t="str">
        <f>IF(CC21&lt;&gt;"",VLOOKUP(CC21,$B$4:$H$40,7,FALSE),"")</f>
        <v/>
      </c>
      <c r="CL21" s="169" t="str">
        <f>IF(CC21&lt;&gt;"",VLOOKUP(CC21,$B$4:$H$40,5,FALSE),"")</f>
        <v/>
      </c>
      <c r="CM21" s="169" t="str">
        <f>IF(CC21&lt;&gt;"",VLOOKUP(CC21,$B$4:$J$40,9,FALSE),"")</f>
        <v/>
      </c>
      <c r="CN21" s="169" t="str">
        <f>CJ21</f>
        <v/>
      </c>
      <c r="CO21" s="169" t="str">
        <f>IF(CC21&lt;&gt;"",RANK(CN21,CN$18:CN$22),"")</f>
        <v/>
      </c>
      <c r="CP21" s="169" t="str">
        <f>IF(CC21&lt;&gt;"",SUMPRODUCT((CN$18:CN$22=CN21)*(CI$18:CI$22&gt;CI21)),"")</f>
        <v/>
      </c>
      <c r="CQ21" s="169" t="str">
        <f>IF(CC21&lt;&gt;"",SUMPRODUCT((CN$18:CN$22=CN21)*(CI$18:CI$22=CI21)*(CG$18:CG$22&gt;CG21)),"")</f>
        <v/>
      </c>
      <c r="CR21" s="169" t="str">
        <f>IF(CC21&lt;&gt;"",SUMPRODUCT((CN$18:CN$22=CN21)*(CI$18:CI$22=CI21)*(CG$18:CG$22=CG21)*(CK$18:CK$22&gt;CK21)),"")</f>
        <v/>
      </c>
      <c r="CS21" s="169" t="str">
        <f>IF(CC21&lt;&gt;"",SUMPRODUCT((CN$18:CN$22=CN21)*(CI$18:CI$22=CI21)*(CG$18:CG$22=CG21)*(CK$18:CK$22=CK21)*(CL$18:CL$22&gt;CL21)),"")</f>
        <v/>
      </c>
      <c r="CT21" s="169" t="str">
        <f>IF(CC21&lt;&gt;"",SUMPRODUCT((CN$18:CN$22=CN21)*(CI$18:CI$22=CI21)*(CG$18:CG$22=CG21)*(CK$18:CK$22=CK21)*(CL$18:CL$22=CL21)*(CM$18:CM$22&gt;CM21)),"")</f>
        <v/>
      </c>
      <c r="CU21" s="169" t="str">
        <f>IF(CC21&lt;&gt;"",SUM(CO21:CT21)+3,"")</f>
        <v/>
      </c>
      <c r="CV21" s="169" t="str">
        <f>IF(CC21&lt;&gt;"",IF(CU21=4,CC21,CC22),"")</f>
        <v/>
      </c>
      <c r="CW21" s="169" t="str">
        <f>IF(CV21&lt;&gt;"",CV21,IF(CB21&lt;&gt;"",CB21,IF(BH21&lt;&gt;"",BH21,IF(AN21&lt;&gt;"",AN21,N21))))</f>
        <v>Ukraine</v>
      </c>
      <c r="CX21" s="169">
        <v>4</v>
      </c>
      <c r="CY21" s="169">
        <v>19</v>
      </c>
      <c r="CZ21" s="169" t="str">
        <f>Tournament!H31</f>
        <v>Italien</v>
      </c>
      <c r="DA21" s="169">
        <f>IF(AND(Tournament!J31&lt;&gt;"",Tournament!L31&lt;&gt;""),Tournament!J31,0)</f>
        <v>1</v>
      </c>
      <c r="DB21" s="169">
        <f>IF(AND(Tournament!L31&lt;&gt;"",Tournament!J31&lt;&gt;""),Tournament!L31,0)</f>
        <v>0</v>
      </c>
      <c r="DC21" s="169" t="str">
        <f>Tournament!N31</f>
        <v>Schweden</v>
      </c>
      <c r="DD21" s="169" t="str">
        <f>IF(AND(Tournament!J31&lt;&gt;"",Tournament!L31&lt;&gt;""),IF(DA21&gt;DB21,"W",IF(DA21=DB21,"D","L")),"")</f>
        <v>W</v>
      </c>
      <c r="DE21" s="169" t="str">
        <f t="shared" si="6"/>
        <v>L</v>
      </c>
      <c r="DH21" s="172" t="s">
        <v>22</v>
      </c>
      <c r="DI21" s="173" t="s">
        <v>10</v>
      </c>
      <c r="DJ21" s="173" t="s">
        <v>211</v>
      </c>
      <c r="DK21" s="173" t="s">
        <v>219</v>
      </c>
      <c r="DL21" s="172" t="s">
        <v>10</v>
      </c>
      <c r="DM21" s="172" t="s">
        <v>22</v>
      </c>
      <c r="DN21" s="172" t="s">
        <v>219</v>
      </c>
      <c r="DO21" s="172" t="s">
        <v>211</v>
      </c>
      <c r="DP21" s="173"/>
      <c r="DQ21" s="174">
        <f t="shared" si="7"/>
        <v>0</v>
      </c>
      <c r="DR21" s="174">
        <f t="shared" si="7"/>
        <v>3</v>
      </c>
      <c r="DS21" s="174">
        <f t="shared" si="7"/>
        <v>4</v>
      </c>
      <c r="DT21" s="174">
        <f t="shared" si="7"/>
        <v>2</v>
      </c>
      <c r="DU21" s="174">
        <f t="shared" si="8"/>
        <v>9</v>
      </c>
      <c r="DV21" s="173"/>
      <c r="DW21" s="173"/>
      <c r="DX21" s="173"/>
    </row>
    <row r="22" spans="1:128" x14ac:dyDescent="0.2">
      <c r="CY22" s="169">
        <v>20</v>
      </c>
      <c r="CZ22" s="169" t="str">
        <f>Tournament!H32</f>
        <v>Tschechien</v>
      </c>
      <c r="DA22" s="169">
        <f>IF(AND(Tournament!J32&lt;&gt;"",Tournament!L32&lt;&gt;""),Tournament!J32,0)</f>
        <v>2</v>
      </c>
      <c r="DB22" s="169">
        <f>IF(AND(Tournament!L32&lt;&gt;"",Tournament!J32&lt;&gt;""),Tournament!L32,0)</f>
        <v>2</v>
      </c>
      <c r="DC22" s="169" t="str">
        <f>Tournament!N32</f>
        <v>Kroatien</v>
      </c>
      <c r="DD22" s="169" t="str">
        <f>IF(AND(Tournament!J32&lt;&gt;"",Tournament!L32&lt;&gt;""),IF(DA22&gt;DB22,"W",IF(DA22=DB22,"D","L")),"")</f>
        <v>D</v>
      </c>
      <c r="DE22" s="169" t="str">
        <f t="shared" si="6"/>
        <v>D</v>
      </c>
      <c r="DH22" s="172" t="s">
        <v>22</v>
      </c>
      <c r="DI22" s="173" t="s">
        <v>20</v>
      </c>
      <c r="DJ22" s="173" t="s">
        <v>211</v>
      </c>
      <c r="DK22" s="173" t="s">
        <v>219</v>
      </c>
      <c r="DL22" s="172" t="s">
        <v>20</v>
      </c>
      <c r="DM22" s="172" t="s">
        <v>22</v>
      </c>
      <c r="DN22" s="172" t="s">
        <v>219</v>
      </c>
      <c r="DO22" s="172" t="s">
        <v>211</v>
      </c>
      <c r="DP22" s="173"/>
      <c r="DQ22" s="174">
        <f t="shared" si="7"/>
        <v>0</v>
      </c>
      <c r="DR22" s="174">
        <f t="shared" si="7"/>
        <v>3</v>
      </c>
      <c r="DS22" s="174">
        <f t="shared" si="7"/>
        <v>4</v>
      </c>
      <c r="DT22" s="174">
        <f t="shared" si="7"/>
        <v>0</v>
      </c>
      <c r="DU22" s="174">
        <f t="shared" si="8"/>
        <v>7</v>
      </c>
      <c r="DV22" s="173"/>
      <c r="DW22" s="173"/>
      <c r="DX22" s="173"/>
    </row>
    <row r="23" spans="1:128" x14ac:dyDescent="0.2">
      <c r="CY23" s="169">
        <v>21</v>
      </c>
      <c r="CZ23" s="169" t="str">
        <f>Tournament!H33</f>
        <v>Spanien</v>
      </c>
      <c r="DA23" s="169">
        <f>IF(AND(Tournament!J33&lt;&gt;"",Tournament!L33&lt;&gt;""),Tournament!J33,0)</f>
        <v>3</v>
      </c>
      <c r="DB23" s="169">
        <f>IF(AND(Tournament!L33&lt;&gt;"",Tournament!J33&lt;&gt;""),Tournament!L33,0)</f>
        <v>0</v>
      </c>
      <c r="DC23" s="169" t="str">
        <f>Tournament!N33</f>
        <v>Truthahn</v>
      </c>
      <c r="DD23" s="169" t="str">
        <f>IF(AND(Tournament!J33&lt;&gt;"",Tournament!L33&lt;&gt;""),IF(DA23&gt;DB23,"W",IF(DA23=DB23,"D","L")),"")</f>
        <v>W</v>
      </c>
      <c r="DE23" s="169" t="str">
        <f t="shared" si="6"/>
        <v>L</v>
      </c>
      <c r="DH23" s="172" t="s">
        <v>9</v>
      </c>
      <c r="DI23" s="173" t="s">
        <v>10</v>
      </c>
      <c r="DJ23" s="173" t="s">
        <v>20</v>
      </c>
      <c r="DK23" s="173" t="s">
        <v>211</v>
      </c>
      <c r="DL23" s="172" t="s">
        <v>10</v>
      </c>
      <c r="DM23" s="172" t="s">
        <v>20</v>
      </c>
      <c r="DN23" s="172" t="s">
        <v>9</v>
      </c>
      <c r="DO23" s="172" t="s">
        <v>211</v>
      </c>
      <c r="DP23" s="173"/>
      <c r="DQ23" s="174">
        <f t="shared" si="7"/>
        <v>1</v>
      </c>
      <c r="DR23" s="174">
        <f t="shared" si="7"/>
        <v>4</v>
      </c>
      <c r="DS23" s="174">
        <f t="shared" si="7"/>
        <v>0</v>
      </c>
      <c r="DT23" s="174">
        <f t="shared" si="7"/>
        <v>2</v>
      </c>
      <c r="DU23" s="174">
        <f t="shared" si="8"/>
        <v>7</v>
      </c>
      <c r="DV23" s="173"/>
      <c r="DW23" s="173"/>
      <c r="DX23" s="173"/>
    </row>
    <row r="24" spans="1:128" x14ac:dyDescent="0.2">
      <c r="CY24" s="169">
        <v>22</v>
      </c>
      <c r="CZ24" s="169" t="str">
        <f>Tournament!H34</f>
        <v>Belgien</v>
      </c>
      <c r="DA24" s="169">
        <f>IF(AND(Tournament!J34&lt;&gt;"",Tournament!L34&lt;&gt;""),Tournament!J34,0)</f>
        <v>3</v>
      </c>
      <c r="DB24" s="169">
        <f>IF(AND(Tournament!L34&lt;&gt;"",Tournament!J34&lt;&gt;""),Tournament!L34,0)</f>
        <v>0</v>
      </c>
      <c r="DC24" s="169" t="str">
        <f>Tournament!N34</f>
        <v>Irische Republik</v>
      </c>
      <c r="DD24" s="169" t="str">
        <f>IF(AND(Tournament!J34&lt;&gt;"",Tournament!L34&lt;&gt;""),IF(DA24&gt;DB24,"W",IF(DA24=DB24,"D","L")),"")</f>
        <v>W</v>
      </c>
      <c r="DE24" s="169" t="str">
        <f t="shared" si="6"/>
        <v>L</v>
      </c>
      <c r="DH24" s="172" t="s">
        <v>9</v>
      </c>
      <c r="DI24" s="173" t="s">
        <v>10</v>
      </c>
      <c r="DJ24" s="173" t="s">
        <v>20</v>
      </c>
      <c r="DK24" s="173" t="s">
        <v>219</v>
      </c>
      <c r="DL24" s="172" t="s">
        <v>10</v>
      </c>
      <c r="DM24" s="172" t="s">
        <v>20</v>
      </c>
      <c r="DN24" s="172" t="s">
        <v>9</v>
      </c>
      <c r="DO24" s="172" t="s">
        <v>219</v>
      </c>
      <c r="DP24" s="173"/>
      <c r="DQ24" s="174">
        <f t="shared" si="7"/>
        <v>1</v>
      </c>
      <c r="DR24" s="174">
        <f t="shared" si="7"/>
        <v>0</v>
      </c>
      <c r="DS24" s="174">
        <f t="shared" si="7"/>
        <v>4</v>
      </c>
      <c r="DT24" s="174">
        <f t="shared" si="7"/>
        <v>2</v>
      </c>
      <c r="DU24" s="174">
        <f t="shared" si="8"/>
        <v>7</v>
      </c>
      <c r="DV24" s="173"/>
      <c r="DW24" s="173"/>
      <c r="DX24" s="173"/>
    </row>
    <row r="25" spans="1:128" x14ac:dyDescent="0.2">
      <c r="A25" s="169">
        <f>VLOOKUP(B25,$CW$25:$CX$29,2,FALSE)</f>
        <v>2</v>
      </c>
      <c r="B25" s="169" t="str">
        <f>'Countries and Timezone'!C19</f>
        <v>Spanien</v>
      </c>
      <c r="C25" s="169">
        <f>SUMPRODUCT(($CZ$3:$CZ$42=$B25)*($DD$3:$DD$42="W"))+SUMPRODUCT(($DC$3:$DC$42=$B25)*($DE$3:$DE$42="W"))</f>
        <v>2</v>
      </c>
      <c r="D25" s="169">
        <f>SUMPRODUCT(($CZ$3:$CZ$42=$B25)*($DD$3:$DD$42="D"))+SUMPRODUCT(($DC$3:$DC$42=$B25)*($DE$3:$DE$42="D"))</f>
        <v>0</v>
      </c>
      <c r="E25" s="169">
        <f>SUMPRODUCT(($CZ$3:$CZ$42=$B25)*($DD$3:$DD$42="L"))+SUMPRODUCT(($DC$3:$DC$42=$B25)*($DE$3:$DE$42="L"))</f>
        <v>1</v>
      </c>
      <c r="F25" s="169">
        <f>SUMIF($CZ$3:$CZ$60,B25,$DA$3:$DA$60)+SUMIF($DC$3:$DC$60,B25,$DB$3:$DB$60)</f>
        <v>5</v>
      </c>
      <c r="G25" s="169">
        <f>SUMIF($DC$3:$DC$60,B25,$DA$3:$DA$60)+SUMIF($CZ$3:$CZ$60,B25,$DB$3:$DB$60)</f>
        <v>2</v>
      </c>
      <c r="H25" s="169">
        <f>F25-G25+1000</f>
        <v>1003</v>
      </c>
      <c r="I25" s="169">
        <f>C25*3+D25*1</f>
        <v>6</v>
      </c>
      <c r="J25" s="169">
        <v>7</v>
      </c>
      <c r="K25" s="169">
        <f>RANK(I25,I$25:I$29)</f>
        <v>2</v>
      </c>
      <c r="M25" s="169">
        <f>RANK(I25,$I$25:$I$29)+COUNTIF($I$25:I25,I25)-1</f>
        <v>2</v>
      </c>
      <c r="N25" s="169" t="str">
        <f>INDEX($B$25:$B$29,MATCH(1,$M$25:$M$29,0),0)</f>
        <v>Kroatien</v>
      </c>
      <c r="O25" s="169">
        <f>IF(Tournament!Q57="U",INDEX($K$25:$K$29,MATCH(N25,$B$25:$B$29,0),0),5)</f>
        <v>1</v>
      </c>
      <c r="P25" s="169" t="str">
        <f>IF(O26=1,N25,"")</f>
        <v/>
      </c>
      <c r="Q25" s="169" t="str">
        <f>IF(O27=2,N26,"")</f>
        <v/>
      </c>
      <c r="R25" s="169" t="str">
        <f>IF(O28=3,N27,"")</f>
        <v/>
      </c>
      <c r="S25" s="169" t="str">
        <f>IF(O29=4,N28,"")</f>
        <v/>
      </c>
      <c r="U25" s="169" t="str">
        <f>IF(P25&lt;&gt;"",P25,"")</f>
        <v/>
      </c>
      <c r="V25" s="169">
        <f>SUMPRODUCT(($CZ$3:$CZ$42=$U25)*($DC$3:$DC$42=$U26)*($DD$3:$DD$42="W"))+SUMPRODUCT(($CZ$3:$CZ$42=$U25)*($DC$3:$DC$42=$U27)*($DD$3:$DD$42="W"))+SUMPRODUCT(($CZ$3:$CZ$42=$U25)*($DC$3:$DC$42=$U28)*($DD$3:$DD$42="W"))+SUMPRODUCT(($CZ$3:$CZ$42=$U25)*($DC$3:$DC$42=$U29)*($DD$3:$DD$42="W"))+SUMPRODUCT(($CZ$3:$CZ$42=$U26)*($DC$3:$DC$42=$U25)*($DE$3:$DE$42="W"))+SUMPRODUCT(($CZ$3:$CZ$42=$U27)*($DC$3:$DC$42=$U25)*($DE$3:$DE$42="W"))+SUMPRODUCT(($CZ$3:$CZ$42=$U28)*($DC$3:$DC$42=$U25)*($DE$3:$DE$42="W"))+SUMPRODUCT(($CZ$3:$CZ$42=$U29)*($DC$3:$DC$42=$U25)*($DE$3:$DE$42="W"))</f>
        <v>0</v>
      </c>
      <c r="W25" s="169">
        <f>SUMPRODUCT(($CZ$3:$CZ$42=$U25)*($DC$3:$DC$42=$U26)*($DD$3:$DD$42="D"))+SUMPRODUCT(($CZ$3:$CZ$42=$U25)*($DC$3:$DC$42=$U27)*($DD$3:$DD$42="D"))+SUMPRODUCT(($CZ$3:$CZ$42=$U25)*($DC$3:$DC$42=$U28)*($DD$3:$DD$42="D"))+SUMPRODUCT(($CZ$3:$CZ$42=$U25)*($DC$3:$DC$42=$U29)*($DD$3:$DD$42="D"))+SUMPRODUCT(($CZ$3:$CZ$42=$U26)*($DC$3:$DC$42=$U25)*($DD$3:$DD$42="D"))+SUMPRODUCT(($CZ$3:$CZ$42=$U27)*($DC$3:$DC$42=$U25)*($DD$3:$DD$42="D"))+SUMPRODUCT(($CZ$3:$CZ$42=$U28)*($DC$3:$DC$42=$U25)*($DD$3:$DD$42="D"))+SUMPRODUCT(($CZ$3:$CZ$42=$U29)*($DC$3:$DC$42=$U25)*($DD$3:$DD$42="D"))</f>
        <v>0</v>
      </c>
      <c r="X25" s="169">
        <f>SUMPRODUCT(($CZ$3:$CZ$42=$U25)*($DC$3:$DC$42=$U26)*($DD$3:$DD$42="L"))+SUMPRODUCT(($CZ$3:$CZ$42=$U25)*($DC$3:$DC$42=$U27)*($DD$3:$DD$42="L"))+SUMPRODUCT(($CZ$3:$CZ$42=$U25)*($DC$3:$DC$42=$U28)*($DD$3:$DD$42="L"))+SUMPRODUCT(($CZ$3:$CZ$42=$U25)*($DC$3:$DC$42=$U29)*($DD$3:$DD$42="L"))+SUMPRODUCT(($CZ$3:$CZ$42=$U26)*($DC$3:$DC$42=$U25)*($DE$3:$DE$42="L"))+SUMPRODUCT(($CZ$3:$CZ$42=$U27)*($DC$3:$DC$42=$U25)*($DE$3:$DE$42="L"))+SUMPRODUCT(($CZ$3:$CZ$42=$U28)*($DC$3:$DC$42=$U25)*($DE$3:$DE$42="L"))+SUMPRODUCT(($CZ$3:$CZ$42=$U29)*($DC$3:$DC$42=$U25)*($DE$3:$DE$42="L"))</f>
        <v>0</v>
      </c>
      <c r="Y25" s="169">
        <f>SUMPRODUCT(($CZ$3:$CZ$42=$U25)*($DC$3:$DC$42=$U26)*$DA$3:$DA$42)+SUMPRODUCT(($CZ$3:$CZ$42=$U25)*($DC$3:$DC$42=$U27)*$DA$3:$DA$42)+SUMPRODUCT(($CZ$3:$CZ$42=$U25)*($DC$3:$DC$42=$U28)*$DA$3:$DA$42)+SUMPRODUCT(($CZ$3:$CZ$42=$U25)*($DC$3:$DC$42=$U29)*$DA$3:$DA$42)+SUMPRODUCT(($CZ$3:$CZ$42=$U26)*($DC$3:$DC$42=$U25)*$DB$3:$DB$42)+SUMPRODUCT(($CZ$3:$CZ$42=$U27)*($DC$3:$DC$42=$U25)*$DB$3:$DB$42)+SUMPRODUCT(($CZ$3:$CZ$42=$U28)*($DC$3:$DC$42=$U25)*$DB$3:$DB$42)+SUMPRODUCT(($CZ$3:$CZ$42=$U29)*($DC$3:$DC$42=$U25)*$DB$3:$DB$42)</f>
        <v>0</v>
      </c>
      <c r="Z25" s="169">
        <f>SUMPRODUCT(($CZ$3:$CZ$42=$U25)*($DC$3:$DC$42=$U26)*$DB$3:$DB$42)+SUMPRODUCT(($CZ$3:$CZ$42=$U25)*($DC$3:$DC$42=$U27)*$DB$3:$DB$42)+SUMPRODUCT(($CZ$3:$CZ$42=$U25)*($DC$3:$DC$42=$U28)*$DB$3:$DB$42)+SUMPRODUCT(($CZ$3:$CZ$42=$U25)*($DC$3:$DC$42=$U29)*$DB$3:$DB$42)+SUMPRODUCT(($CZ$3:$CZ$42=$U26)*($DC$3:$DC$42=$U25)*$DA$3:$DA$42)+SUMPRODUCT(($CZ$3:$CZ$42=$U27)*($DC$3:$DC$42=$U25)*$DA$3:$DA$42)+SUMPRODUCT(($CZ$3:$CZ$42=$U28)*($DC$3:$DC$42=$U25)*$DA$3:$DA$42)+SUMPRODUCT(($CZ$3:$CZ$42=$U29)*($DC$3:$DC$42=$U25)*$DA$3:$DA$42)</f>
        <v>0</v>
      </c>
      <c r="AA25" s="169">
        <f>Y25-Z25+1000</f>
        <v>1000</v>
      </c>
      <c r="AB25" s="169" t="str">
        <f>IF(U25&lt;&gt;"",V25*3+W25*1,"")</f>
        <v/>
      </c>
      <c r="AC25" s="169" t="str">
        <f>IF(U25&lt;&gt;"",VLOOKUP(U25,$B$4:$H$40,7,FALSE),"")</f>
        <v/>
      </c>
      <c r="AD25" s="169" t="str">
        <f>IF(U25&lt;&gt;"",VLOOKUP(U25,$B$4:$H$40,5,FALSE),"")</f>
        <v/>
      </c>
      <c r="AE25" s="169" t="str">
        <f>IF(U25&lt;&gt;"",VLOOKUP(U25,$B$4:$J$40,9,FALSE),"")</f>
        <v/>
      </c>
      <c r="AF25" s="169" t="str">
        <f>AB25</f>
        <v/>
      </c>
      <c r="AG25" s="169" t="str">
        <f>IF(U25&lt;&gt;"",RANK(AF25,$AF$25:$AF$29),"")</f>
        <v/>
      </c>
      <c r="AH25" s="169" t="str">
        <f>IF(U25&lt;&gt;"",SUMPRODUCT((AF$25:AF$29=AF25)*(AA$25:AA$29&gt;AA25)),"")</f>
        <v/>
      </c>
      <c r="AI25" s="169" t="str">
        <f>IF(U25&lt;&gt;"",SUMPRODUCT((AF$25:AF$29=AF25)*(AA$25:AA$29=AA25)*(Y$25:Y$29&gt;Y25)),"")</f>
        <v/>
      </c>
      <c r="AJ25" s="169" t="str">
        <f>IF(U25&lt;&gt;"",SUMPRODUCT((AF$25:AF$29=AF25)*(AA$25:AA$29=AA25)*(Y$25:Y$29=Y25)*(AC$25:AC$29&gt;AC25)),"")</f>
        <v/>
      </c>
      <c r="AK25" s="169" t="str">
        <f>IF(U25&lt;&gt;"",SUMPRODUCT((AF$25:AF$29=AF25)*(AA$25:AA$29=AA25)*(Y$25:Y$29=Y25)*(AC$25:AC$29=AC25)*(AD$25:AD$29&gt;AD25)),"")</f>
        <v/>
      </c>
      <c r="AL25" s="169" t="str">
        <f>IF(U25&lt;&gt;"",SUMPRODUCT((AF$25:AF$29=AF25)*(AA$25:AA$29=AA25)*(Y$25:Y$29=Y25)*(AC$25:AC$29=AC25)*(AD$25:AD$29=AD25)*(AE$25:AE$29&gt;AE25)),"")</f>
        <v/>
      </c>
      <c r="AM25" s="169" t="str">
        <f>IF(U25&lt;&gt;"",SUM(AG25:AL25),"")</f>
        <v/>
      </c>
      <c r="AN25" s="169" t="str">
        <f>IF(U25&lt;&gt;"",INDEX($U$25:$U$29,MATCH(1,$AM$25:$AM$29,0),0),"")</f>
        <v/>
      </c>
      <c r="CW25" s="169" t="str">
        <f>IF(AN25&lt;&gt;"",AN25,N25)</f>
        <v>Kroatien</v>
      </c>
      <c r="CX25" s="169">
        <v>1</v>
      </c>
      <c r="CY25" s="169">
        <v>23</v>
      </c>
      <c r="CZ25" s="169" t="str">
        <f>Tournament!H35</f>
        <v>Island</v>
      </c>
      <c r="DA25" s="169">
        <f>IF(AND(Tournament!J35&lt;&gt;"",Tournament!L35&lt;&gt;""),Tournament!J35,0)</f>
        <v>1</v>
      </c>
      <c r="DB25" s="169">
        <f>IF(AND(Tournament!L35&lt;&gt;"",Tournament!J35&lt;&gt;""),Tournament!L35,0)</f>
        <v>1</v>
      </c>
      <c r="DC25" s="169" t="str">
        <f>Tournament!N35</f>
        <v>Ungarn</v>
      </c>
      <c r="DD25" s="169" t="str">
        <f>IF(AND(Tournament!J35&lt;&gt;"",Tournament!L35&lt;&gt;""),IF(DA25&gt;DB25,"W",IF(DA25=DB25,"D","L")),"")</f>
        <v>D</v>
      </c>
      <c r="DE25" s="169" t="str">
        <f t="shared" si="6"/>
        <v>D</v>
      </c>
      <c r="DH25" s="172" t="s">
        <v>9</v>
      </c>
      <c r="DI25" s="173" t="s">
        <v>10</v>
      </c>
      <c r="DJ25" s="173" t="s">
        <v>211</v>
      </c>
      <c r="DK25" s="173" t="s">
        <v>219</v>
      </c>
      <c r="DL25" s="175" t="s">
        <v>211</v>
      </c>
      <c r="DM25" s="172" t="s">
        <v>10</v>
      </c>
      <c r="DN25" s="172" t="s">
        <v>9</v>
      </c>
      <c r="DO25" s="172" t="s">
        <v>219</v>
      </c>
      <c r="DP25" s="173"/>
      <c r="DQ25" s="174">
        <f t="shared" si="7"/>
        <v>1</v>
      </c>
      <c r="DR25" s="174">
        <f t="shared" si="7"/>
        <v>3</v>
      </c>
      <c r="DS25" s="174">
        <f t="shared" si="7"/>
        <v>4</v>
      </c>
      <c r="DT25" s="174">
        <f t="shared" si="7"/>
        <v>2</v>
      </c>
      <c r="DU25" s="176">
        <f t="shared" si="8"/>
        <v>10</v>
      </c>
      <c r="DV25" s="173"/>
      <c r="DW25" s="173"/>
      <c r="DX25" s="173"/>
    </row>
    <row r="26" spans="1:128" x14ac:dyDescent="0.2">
      <c r="A26" s="169">
        <f>VLOOKUP(B26,$CW$25:$CX$29,2,FALSE)</f>
        <v>4</v>
      </c>
      <c r="B26" s="169" t="str">
        <f>'Countries and Timezone'!C20</f>
        <v>Tschechien</v>
      </c>
      <c r="C26" s="169">
        <f>SUMPRODUCT(($CZ$3:$CZ$42=$B26)*($DD$3:$DD$42="W"))+SUMPRODUCT(($DC$3:$DC$42=$B26)*($DE$3:$DE$42="W"))</f>
        <v>0</v>
      </c>
      <c r="D26" s="169">
        <f>SUMPRODUCT(($CZ$3:$CZ$42=$B26)*($DD$3:$DD$42="D"))+SUMPRODUCT(($DC$3:$DC$42=$B26)*($DE$3:$DE$42="D"))</f>
        <v>1</v>
      </c>
      <c r="E26" s="169">
        <f>SUMPRODUCT(($CZ$3:$CZ$42=$B26)*($DD$3:$DD$42="L"))+SUMPRODUCT(($DC$3:$DC$42=$B26)*($DE$3:$DE$42="L"))</f>
        <v>2</v>
      </c>
      <c r="F26" s="169">
        <f>SUMIF($CZ$3:$CZ$60,B26,$DA$3:$DA$60)+SUMIF($DC$3:$DC$60,B26,$DB$3:$DB$60)</f>
        <v>2</v>
      </c>
      <c r="G26" s="169">
        <f>SUMIF($DC$3:$DC$60,B26,$DA$3:$DA$60)+SUMIF($CZ$3:$CZ$60,B26,$DB$3:$DB$60)</f>
        <v>5</v>
      </c>
      <c r="H26" s="169">
        <f>F26-G26+1000</f>
        <v>997</v>
      </c>
      <c r="I26" s="169">
        <f>C26*3+D26*1</f>
        <v>1</v>
      </c>
      <c r="J26" s="169">
        <v>3</v>
      </c>
      <c r="K26" s="169">
        <f>RANK(I26,I$25:I$29)</f>
        <v>4</v>
      </c>
      <c r="M26" s="169">
        <f>RANK(I26,$I$25:$I$29)+COUNTIF($I$25:I26,I26)-1</f>
        <v>4</v>
      </c>
      <c r="N26" s="169" t="str">
        <f>INDEX($B$25:$B$29,MATCH(2,$M$25:$M$29,0),0)</f>
        <v>Spanien</v>
      </c>
      <c r="O26" s="169">
        <f>INDEX($K$25:$K$29,MATCH(N26,$B$25:$B$29,0),0)</f>
        <v>2</v>
      </c>
      <c r="P26" s="169" t="str">
        <f>IF(P25&lt;&gt;"",N26,"")</f>
        <v/>
      </c>
      <c r="Q26" s="169" t="str">
        <f>IF(Q25&lt;&gt;"",N27,"")</f>
        <v/>
      </c>
      <c r="R26" s="169" t="str">
        <f>IF(R25&lt;&gt;"",N28,"")</f>
        <v/>
      </c>
      <c r="S26" s="169" t="str">
        <f>IF(S25&lt;&gt;"",N29,"")</f>
        <v/>
      </c>
      <c r="U26" s="169" t="str">
        <f>IF(P26&lt;&gt;"",P26,"")</f>
        <v/>
      </c>
      <c r="V26" s="169">
        <f>SUMPRODUCT(($CZ$3:$CZ$42=$U26)*($DC$3:$DC$42=$U27)*($DD$3:$DD$42="W"))+SUMPRODUCT(($CZ$3:$CZ$42=$U26)*($DC$3:$DC$42=$U28)*($DD$3:$DD$42="W"))+SUMPRODUCT(($CZ$3:$CZ$42=$U26)*($DC$3:$DC$42=$U29)*($DD$3:$DD$42="W"))+SUMPRODUCT(($CZ$3:$CZ$42=$U26)*($DC$3:$DC$42=$U25)*($DD$3:$DD$42="W"))+SUMPRODUCT(($CZ$3:$CZ$42=$U27)*($DC$3:$DC$42=$U26)*($DE$3:$DE$42="W"))+SUMPRODUCT(($CZ$3:$CZ$42=$U28)*($DC$3:$DC$42=$U26)*($DE$3:$DE$42="W"))+SUMPRODUCT(($CZ$3:$CZ$42=$U29)*($DC$3:$DC$42=$U26)*($DE$3:$DE$42="W"))+SUMPRODUCT(($CZ$3:$CZ$42=$U25)*($DC$3:$DC$42=$U26)*($DE$3:$DE$42="W"))</f>
        <v>0</v>
      </c>
      <c r="W26" s="169">
        <f>SUMPRODUCT(($CZ$3:$CZ$42=$U26)*($DC$3:$DC$42=$U27)*($DD$3:$DD$42="D"))+SUMPRODUCT(($CZ$3:$CZ$42=$U26)*($DC$3:$DC$42=$U28)*($DD$3:$DD$42="D"))+SUMPRODUCT(($CZ$3:$CZ$42=$U26)*($DC$3:$DC$42=$U29)*($DD$3:$DD$42="D"))+SUMPRODUCT(($CZ$3:$CZ$42=$U26)*($DC$3:$DC$42=$U25)*($DD$3:$DD$42="D"))+SUMPRODUCT(($CZ$3:$CZ$42=$U27)*($DC$3:$DC$42=$U26)*($DD$3:$DD$42="D"))+SUMPRODUCT(($CZ$3:$CZ$42=$U28)*($DC$3:$DC$42=$U26)*($DD$3:$DD$42="D"))+SUMPRODUCT(($CZ$3:$CZ$42=$U29)*($DC$3:$DC$42=$U26)*($DD$3:$DD$42="D"))+SUMPRODUCT(($CZ$3:$CZ$42=$U25)*($DC$3:$DC$42=$U26)*($DD$3:$DD$42="D"))</f>
        <v>0</v>
      </c>
      <c r="X26" s="169">
        <f>SUMPRODUCT(($CZ$3:$CZ$42=$U26)*($DC$3:$DC$42=$U27)*($DD$3:$DD$42="L"))+SUMPRODUCT(($CZ$3:$CZ$42=$U26)*($DC$3:$DC$42=$U28)*($DD$3:$DD$42="L"))+SUMPRODUCT(($CZ$3:$CZ$42=$U26)*($DC$3:$DC$42=$U29)*($DD$3:$DD$42="L"))+SUMPRODUCT(($CZ$3:$CZ$42=$U26)*($DC$3:$DC$42=$U25)*($DD$3:$DD$42="L"))+SUMPRODUCT(($CZ$3:$CZ$42=$U27)*($DC$3:$DC$42=$U26)*($DE$3:$DE$42="L"))+SUMPRODUCT(($CZ$3:$CZ$42=$U28)*($DC$3:$DC$42=$U26)*($DE$3:$DE$42="L"))+SUMPRODUCT(($CZ$3:$CZ$42=$U29)*($DC$3:$DC$42=$U26)*($DE$3:$DE$42="L"))+SUMPRODUCT(($CZ$3:$CZ$42=$U25)*($DC$3:$DC$42=$U26)*($DE$3:$DE$42="L"))</f>
        <v>0</v>
      </c>
      <c r="Y26" s="169">
        <f>SUMPRODUCT(($CZ$3:$CZ$42=$U26)*($DC$3:$DC$42=$U27)*$DA$3:$DA$42)+SUMPRODUCT(($CZ$3:$CZ$42=$U26)*($DC$3:$DC$42=$U28)*$DA$3:$DA$42)+SUMPRODUCT(($CZ$3:$CZ$42=$U26)*($DC$3:$DC$42=$U29)*$DA$3:$DA$42)+SUMPRODUCT(($CZ$3:$CZ$42=$U26)*($DC$3:$DC$42=$U25)*$DA$3:$DA$42)+SUMPRODUCT(($CZ$3:$CZ$42=$U27)*($DC$3:$DC$42=$U26)*$DB$3:$DB$42)+SUMPRODUCT(($CZ$3:$CZ$42=$U28)*($DC$3:$DC$42=$U26)*$DB$3:$DB$42)+SUMPRODUCT(($CZ$3:$CZ$42=$U29)*($DC$3:$DC$42=$U26)*$DB$3:$DB$42)+SUMPRODUCT(($CZ$3:$CZ$42=$U25)*($DC$3:$DC$42=$U26)*$DB$3:$DB$42)</f>
        <v>0</v>
      </c>
      <c r="Z26" s="169">
        <f>SUMPRODUCT(($CZ$3:$CZ$42=$U26)*($DC$3:$DC$42=$U27)*$DB$3:$DB$42)+SUMPRODUCT(($CZ$3:$CZ$42=$U26)*($DC$3:$DC$42=$U28)*$DB$3:$DB$42)+SUMPRODUCT(($CZ$3:$CZ$42=$U26)*($DC$3:$DC$42=$U29)*$DB$3:$DB$42)+SUMPRODUCT(($CZ$3:$CZ$42=$U26)*($DC$3:$DC$42=$U25)*$DB$3:$DB$42)+SUMPRODUCT(($CZ$3:$CZ$42=$U27)*($DC$3:$DC$42=$U26)*$DA$3:$DA$42)+SUMPRODUCT(($CZ$3:$CZ$42=$U28)*($DC$3:$DC$42=$U26)*$DA$3:$DA$42)+SUMPRODUCT(($CZ$3:$CZ$42=$U29)*($DC$3:$DC$42=$U26)*$DA$3:$DA$42)+SUMPRODUCT(($CZ$3:$CZ$42=$U25)*($DC$3:$DC$42=$U26)*$DA$3:$DA$42)</f>
        <v>0</v>
      </c>
      <c r="AA26" s="169">
        <f>Y26-Z26+1000</f>
        <v>1000</v>
      </c>
      <c r="AB26" s="169" t="str">
        <f>IF(U26&lt;&gt;"",V26*3+W26*1,"")</f>
        <v/>
      </c>
      <c r="AC26" s="169" t="str">
        <f>IF(U26&lt;&gt;"",VLOOKUP(U26,$B$4:$H$40,7,FALSE),"")</f>
        <v/>
      </c>
      <c r="AD26" s="169" t="str">
        <f>IF(U26&lt;&gt;"",VLOOKUP(U26,$B$4:$H$40,5,FALSE),"")</f>
        <v/>
      </c>
      <c r="AE26" s="169" t="str">
        <f>IF(U26&lt;&gt;"",VLOOKUP(U26,$B$4:$J$40,9,FALSE),"")</f>
        <v/>
      </c>
      <c r="AF26" s="169" t="str">
        <f>AB26</f>
        <v/>
      </c>
      <c r="AG26" s="169" t="str">
        <f>IF(U26&lt;&gt;"",RANK(AF26,$AF$25:$AF$29),"")</f>
        <v/>
      </c>
      <c r="AH26" s="169" t="str">
        <f>IF(U26&lt;&gt;"",SUMPRODUCT((AF$25:AF$29=AF26)*(AA$25:AA$29&gt;AA26)),"")</f>
        <v/>
      </c>
      <c r="AI26" s="169" t="str">
        <f>IF(U26&lt;&gt;"",SUMPRODUCT((AF$25:AF$29=AF26)*(AA$25:AA$29=AA26)*(Y$25:Y$29&gt;Y26)),"")</f>
        <v/>
      </c>
      <c r="AJ26" s="169" t="str">
        <f>IF(U26&lt;&gt;"",SUMPRODUCT((AF$25:AF$29=AF26)*(AA$25:AA$29=AA26)*(Y$25:Y$29=Y26)*(AC$25:AC$29&gt;AC26)),"")</f>
        <v/>
      </c>
      <c r="AK26" s="169" t="str">
        <f>IF(U26&lt;&gt;"",SUMPRODUCT((AF$25:AF$29=AF26)*(AA$25:AA$29=AA26)*(Y$25:Y$29=Y26)*(AC$25:AC$29=AC26)*(AD$25:AD$29&gt;AD26)),"")</f>
        <v/>
      </c>
      <c r="AL26" s="169" t="str">
        <f>IF(U26&lt;&gt;"",SUMPRODUCT((AF$25:AF$29=AF26)*(AA$25:AA$29=AA26)*(Y$25:Y$29=Y26)*(AC$25:AC$29=AC26)*(AD$25:AD$29=AD26)*(AE$25:AE$29&gt;AE26)),"")</f>
        <v/>
      </c>
      <c r="AM26" s="169" t="str">
        <f>IF(U26&lt;&gt;"",SUM(AG26:AL26),"")</f>
        <v/>
      </c>
      <c r="AN26" s="169" t="str">
        <f>IF(U26&lt;&gt;"",INDEX($U$25:$U$29,MATCH(2,$AM$25:$AM$29,0),0),"")</f>
        <v/>
      </c>
      <c r="AO26" s="169" t="str">
        <f>IF(Q25&lt;&gt;"",Q25,"")</f>
        <v/>
      </c>
      <c r="AP26" s="169">
        <f>SUMPRODUCT(($CZ$3:$CZ$42=$AO26)*($DC$3:$DC$42=$AO27)*($DD$3:$DD$42="W"))+SUMPRODUCT(($CZ$3:$CZ$42=$AO26)*($DC$3:$DC$42=$AO28)*($DD$3:$DD$42="W"))+SUMPRODUCT(($CZ$3:$CZ$42=$AO26)*($DC$3:$DC$42=$AO29)*($DD$3:$DD$42="W"))+SUMPRODUCT(($CZ$3:$CZ$42=$AO27)*($DC$3:$DC$42=$AO26)*($DE$3:$DE$42="W"))+SUMPRODUCT(($CZ$3:$CZ$42=$AO28)*($DC$3:$DC$42=$AO26)*($DE$3:$DE$42="W"))+SUMPRODUCT(($CZ$3:$CZ$42=$AO29)*($DC$3:$DC$42=$AO26)*($DE$3:$DE$42="W"))</f>
        <v>0</v>
      </c>
      <c r="AQ26" s="169">
        <f>SUMPRODUCT(($CZ$3:$CZ$42=$AO26)*($DC$3:$DC$42=$AO27)*($DD$3:$DD$42="D"))+SUMPRODUCT(($CZ$3:$CZ$42=$AO26)*($DC$3:$DC$42=$AO28)*($DD$3:$DD$42="D"))+SUMPRODUCT(($CZ$3:$CZ$42=$AO26)*($DC$3:$DC$42=$AO29)*($DD$3:$DD$42="D"))+SUMPRODUCT(($CZ$3:$CZ$42=$AO27)*($DC$3:$DC$42=$AO26)*($DD$3:$DD$42="D"))+SUMPRODUCT(($CZ$3:$CZ$42=$AO28)*($DC$3:$DC$42=$AO26)*($DD$3:$DD$42="D"))+SUMPRODUCT(($CZ$3:$CZ$42=$AO29)*($DC$3:$DC$42=$AO26)*($DD$3:$DD$42="D"))</f>
        <v>0</v>
      </c>
      <c r="AR26" s="169">
        <f>SUMPRODUCT(($CZ$3:$CZ$42=$AO26)*($DC$3:$DC$42=$AO27)*($DD$3:$DD$42="L"))+SUMPRODUCT(($CZ$3:$CZ$42=$AO26)*($DC$3:$DC$42=$AO28)*($DD$3:$DD$42="L"))+SUMPRODUCT(($CZ$3:$CZ$42=$AO26)*($DC$3:$DC$42=$AO29)*($DD$3:$DD$42="L"))+SUMPRODUCT(($CZ$3:$CZ$42=$AO27)*($DC$3:$DC$42=$AO26)*($DE$3:$DE$42="L"))+SUMPRODUCT(($CZ$3:$CZ$42=$AO28)*($DC$3:$DC$42=$AO26)*($DE$3:$DE$42="L"))+SUMPRODUCT(($CZ$3:$CZ$42=$AO29)*($DC$3:$DC$42=$AO26)*($DE$3:$DE$42="L"))</f>
        <v>0</v>
      </c>
      <c r="AS26" s="169">
        <f>SUMPRODUCT(($CZ$3:$CZ$42=$AO26)*($DC$3:$DC$42=$AO27)*$DA$3:$DA$42)+SUMPRODUCT(($CZ$3:$CZ$42=$AO26)*($DC$3:$DC$42=$AO28)*$DA$3:$DA$42)+SUMPRODUCT(($CZ$3:$CZ$42=$AO26)*($DC$3:$DC$42=$AO29)*$DA$3:$DA$42)+SUMPRODUCT(($CZ$3:$CZ$42=$AO26)*($DC$3:$DC$42=$AO25)*$DA$3:$DA$42)+SUMPRODUCT(($CZ$3:$CZ$42=$AO27)*($DC$3:$DC$42=$AO26)*$DB$3:$DB$42)+SUMPRODUCT(($CZ$3:$CZ$42=$AO28)*($DC$3:$DC$42=$AO26)*$DB$3:$DB$42)+SUMPRODUCT(($CZ$3:$CZ$42=$AO29)*($DC$3:$DC$42=$AO26)*$DB$3:$DB$42)+SUMPRODUCT(($CZ$3:$CZ$42=$AO25)*($DC$3:$DC$42=$AO26)*$DB$3:$DB$42)</f>
        <v>0</v>
      </c>
      <c r="AT26" s="169">
        <f>SUMPRODUCT(($CZ$3:$CZ$42=$AO26)*($DC$3:$DC$42=$AO27)*$DB$3:$DB$42)+SUMPRODUCT(($CZ$3:$CZ$42=$AO26)*($DC$3:$DC$42=$AO28)*$DB$3:$DB$42)+SUMPRODUCT(($CZ$3:$CZ$42=$AO26)*($DC$3:$DC$42=$AO29)*$DB$3:$DB$42)+SUMPRODUCT(($CZ$3:$CZ$42=$AO26)*($DC$3:$DC$42=$AO25)*$DB$3:$DB$42)+SUMPRODUCT(($CZ$3:$CZ$42=$AO27)*($DC$3:$DC$42=$AO26)*$DA$3:$DA$42)+SUMPRODUCT(($CZ$3:$CZ$42=$AO28)*($DC$3:$DC$42=$AO26)*$DA$3:$DA$42)+SUMPRODUCT(($CZ$3:$CZ$42=$AO29)*($DC$3:$DC$42=$AO26)*$DA$3:$DA$42)+SUMPRODUCT(($CZ$3:$CZ$42=$AO25)*($DC$3:$DC$42=$AO26)*$DA$3:$DA$42)</f>
        <v>0</v>
      </c>
      <c r="AU26" s="169">
        <f>AS26-AT26+1000</f>
        <v>1000</v>
      </c>
      <c r="AV26" s="169" t="str">
        <f>IF(AO26&lt;&gt;"",AP26*3+AQ26*1,"")</f>
        <v/>
      </c>
      <c r="AW26" s="169" t="str">
        <f>IF(AO26&lt;&gt;"",VLOOKUP(AO26,$B$4:$H$40,7,FALSE),"")</f>
        <v/>
      </c>
      <c r="AX26" s="169" t="str">
        <f>IF(AO26&lt;&gt;"",VLOOKUP(AO26,$B$4:$H$40,5,FALSE),"")</f>
        <v/>
      </c>
      <c r="AY26" s="169" t="str">
        <f>IF(AO26&lt;&gt;"",VLOOKUP(AO26,$B$4:$J$40,9,FALSE),"")</f>
        <v/>
      </c>
      <c r="AZ26" s="169" t="str">
        <f>AV26</f>
        <v/>
      </c>
      <c r="BA26" s="169" t="str">
        <f>IF(AO26&lt;&gt;"",RANK(AZ26,AZ$25:AZ$29),"")</f>
        <v/>
      </c>
      <c r="BB26" s="169" t="str">
        <f>IF(AO26&lt;&gt;"",SUMPRODUCT((AZ$25:AZ$29=AZ26)*(AU$25:AU$29&gt;AU26)),"")</f>
        <v/>
      </c>
      <c r="BC26" s="169" t="str">
        <f>IF(AO26&lt;&gt;"",SUMPRODUCT((AZ$25:AZ$29=AZ26)*(AU$25:AU$29=AU26)*(AS$25:AS$29&gt;AS26)),"")</f>
        <v/>
      </c>
      <c r="BD26" s="169" t="str">
        <f>IF(AO26&lt;&gt;"",SUMPRODUCT((AZ$25:AZ$29=AZ26)*(AU$25:AU$29=AU26)*(AS$25:AS$29=AS26)*(AW$25:AW$29&gt;AW26)),"")</f>
        <v/>
      </c>
      <c r="BE26" s="169" t="str">
        <f>IF(AO26&lt;&gt;"",SUMPRODUCT((AZ$25:AZ$29=AZ26)*(AU$25:AU$29=AU26)*(AS$25:AS$29=AS26)*(AW$25:AW$29=AW26)*(AX$25:AX$29&gt;AX26)),"")</f>
        <v/>
      </c>
      <c r="BF26" s="169" t="str">
        <f>IF(AO26&lt;&gt;"",SUMPRODUCT((AZ$25:AZ$29=AZ26)*(AU$25:AU$29=AU26)*(AS$25:AS$29=AS26)*(AW$25:AW$29=AW26)*(AX$25:AX$29=AX26)*(AY$25:AY$29&gt;AY26)),"")</f>
        <v/>
      </c>
      <c r="BG26" s="169" t="str">
        <f>IF(AO26&lt;&gt;"",SUM(BA26:BF26)+1,"")</f>
        <v/>
      </c>
      <c r="BH26" s="169" t="str">
        <f>IF(AO26&lt;&gt;"",INDEX(AO26:AO29,MATCH(2,BG26:BG29,0),0),"")</f>
        <v/>
      </c>
      <c r="CW26" s="169" t="str">
        <f>IF(BH26&lt;&gt;"",BH26,IF(AN26&lt;&gt;"",AN26,N26))</f>
        <v>Spanien</v>
      </c>
      <c r="CX26" s="169">
        <v>2</v>
      </c>
      <c r="CY26" s="169">
        <v>24</v>
      </c>
      <c r="CZ26" s="169" t="str">
        <f>Tournament!H36</f>
        <v>Portugal</v>
      </c>
      <c r="DA26" s="169">
        <f>IF(AND(Tournament!J36&lt;&gt;"",Tournament!L36&lt;&gt;""),Tournament!J36,0)</f>
        <v>0</v>
      </c>
      <c r="DB26" s="169">
        <f>IF(AND(Tournament!L36&lt;&gt;"",Tournament!J36&lt;&gt;""),Tournament!L36,0)</f>
        <v>0</v>
      </c>
      <c r="DC26" s="169" t="str">
        <f>Tournament!N36</f>
        <v>Österreich</v>
      </c>
      <c r="DD26" s="169" t="str">
        <f>IF(AND(Tournament!J36&lt;&gt;"",Tournament!L36&lt;&gt;""),IF(DA26&gt;DB26,"W",IF(DA26=DB26,"D","L")),"")</f>
        <v>D</v>
      </c>
      <c r="DE26" s="169" t="str">
        <f t="shared" si="6"/>
        <v>D</v>
      </c>
      <c r="DH26" s="172" t="s">
        <v>9</v>
      </c>
      <c r="DI26" s="173" t="s">
        <v>20</v>
      </c>
      <c r="DJ26" s="173" t="s">
        <v>211</v>
      </c>
      <c r="DK26" s="173" t="s">
        <v>219</v>
      </c>
      <c r="DL26" s="172" t="s">
        <v>211</v>
      </c>
      <c r="DM26" s="172" t="s">
        <v>20</v>
      </c>
      <c r="DN26" s="172" t="s">
        <v>9</v>
      </c>
      <c r="DO26" s="172" t="s">
        <v>219</v>
      </c>
      <c r="DP26" s="173"/>
      <c r="DQ26" s="174">
        <f t="shared" si="7"/>
        <v>1</v>
      </c>
      <c r="DR26" s="174">
        <f t="shared" si="7"/>
        <v>3</v>
      </c>
      <c r="DS26" s="174">
        <f t="shared" si="7"/>
        <v>4</v>
      </c>
      <c r="DT26" s="174">
        <f t="shared" si="7"/>
        <v>0</v>
      </c>
      <c r="DU26" s="174">
        <f t="shared" si="8"/>
        <v>8</v>
      </c>
      <c r="DV26" s="173"/>
      <c r="DW26" s="173"/>
      <c r="DX26" s="173"/>
    </row>
    <row r="27" spans="1:128" x14ac:dyDescent="0.2">
      <c r="A27" s="169">
        <f>VLOOKUP(B27,$CW$25:$CX$29,2,FALSE)</f>
        <v>3</v>
      </c>
      <c r="B27" s="169" t="str">
        <f>'Countries and Timezone'!C21</f>
        <v>Truthahn</v>
      </c>
      <c r="C27" s="169">
        <f>SUMPRODUCT(($CZ$3:$CZ$42=$B27)*($DD$3:$DD$42="W"))+SUMPRODUCT(($DC$3:$DC$42=$B27)*($DE$3:$DE$42="W"))</f>
        <v>1</v>
      </c>
      <c r="D27" s="169">
        <f>SUMPRODUCT(($CZ$3:$CZ$42=$B27)*($DD$3:$DD$42="D"))+SUMPRODUCT(($DC$3:$DC$42=$B27)*($DE$3:$DE$42="D"))</f>
        <v>0</v>
      </c>
      <c r="E27" s="169">
        <f>SUMPRODUCT(($CZ$3:$CZ$42=$B27)*($DD$3:$DD$42="L"))+SUMPRODUCT(($DC$3:$DC$42=$B27)*($DE$3:$DE$42="L"))</f>
        <v>2</v>
      </c>
      <c r="F27" s="169">
        <f>SUMIF($CZ$3:$CZ$60,B27,$DA$3:$DA$60)+SUMIF($DC$3:$DC$60,B27,$DB$3:$DB$60)</f>
        <v>2</v>
      </c>
      <c r="G27" s="169">
        <f>SUMIF($DC$3:$DC$60,B27,$DA$3:$DA$60)+SUMIF($CZ$3:$CZ$60,B27,$DB$3:$DB$60)</f>
        <v>4</v>
      </c>
      <c r="H27" s="169">
        <f>F27-G27+1000</f>
        <v>998</v>
      </c>
      <c r="I27" s="169">
        <f>C27*3+D27*1</f>
        <v>3</v>
      </c>
      <c r="J27" s="169">
        <v>15</v>
      </c>
      <c r="K27" s="169">
        <f>RANK(I27,I$25:I$29)</f>
        <v>3</v>
      </c>
      <c r="M27" s="169">
        <f>RANK(I27,$I$25:$I$29)+COUNTIF($I$25:I27,I27)-1</f>
        <v>3</v>
      </c>
      <c r="N27" s="169" t="str">
        <f>INDEX($B$25:$B$29,MATCH(3,$M$25:$M$29,0),0)</f>
        <v>Truthahn</v>
      </c>
      <c r="O27" s="169">
        <f>INDEX($K$25:$K$29,MATCH(N27,$B$25:$B$29,0),0)</f>
        <v>3</v>
      </c>
      <c r="P27" s="169" t="str">
        <f>IF(AND(P26&lt;&gt;"",O27=1),N27,"")</f>
        <v/>
      </c>
      <c r="Q27" s="169" t="str">
        <f>IF(AND(Q26&lt;&gt;"",O28=2),N28,"")</f>
        <v/>
      </c>
      <c r="R27" s="169" t="str">
        <f>IF(AND(R26&lt;&gt;"",O29=3),N29,"")</f>
        <v/>
      </c>
      <c r="U27" s="169" t="str">
        <f>IF(P27&lt;&gt;"",P27,"")</f>
        <v/>
      </c>
      <c r="V27" s="169">
        <f>SUMPRODUCT(($CZ$3:$CZ$42=$U27)*($DC$3:$DC$42=$U28)*($DD$3:$DD$42="W"))+SUMPRODUCT(($CZ$3:$CZ$42=$U27)*($DC$3:$DC$42=$U29)*($DD$3:$DD$42="W"))+SUMPRODUCT(($CZ$3:$CZ$42=$U27)*($DC$3:$DC$42=$U25)*($DD$3:$DD$42="W"))+SUMPRODUCT(($CZ$3:$CZ$42=$U27)*($DC$3:$DC$42=$U26)*($DD$3:$DD$42="W"))+SUMPRODUCT(($CZ$3:$CZ$42=$U28)*($DC$3:$DC$42=$U27)*($DE$3:$DE$42="W"))+SUMPRODUCT(($CZ$3:$CZ$42=$U29)*($DC$3:$DC$42=$U27)*($DE$3:$DE$42="W"))+SUMPRODUCT(($CZ$3:$CZ$42=$U25)*($DC$3:$DC$42=$U27)*($DE$3:$DE$42="W"))+SUMPRODUCT(($CZ$3:$CZ$42=$U26)*($DC$3:$DC$42=$U27)*($DE$3:$DE$42="W"))</f>
        <v>0</v>
      </c>
      <c r="W27" s="169">
        <f>SUMPRODUCT(($CZ$3:$CZ$42=$U27)*($DC$3:$DC$42=$U28)*($DD$3:$DD$42="D"))+SUMPRODUCT(($CZ$3:$CZ$42=$U27)*($DC$3:$DC$42=$U29)*($DD$3:$DD$42="D"))+SUMPRODUCT(($CZ$3:$CZ$42=$U27)*($DC$3:$DC$42=$U25)*($DD$3:$DD$42="D"))+SUMPRODUCT(($CZ$3:$CZ$42=$U27)*($DC$3:$DC$42=$U26)*($DD$3:$DD$42="D"))+SUMPRODUCT(($CZ$3:$CZ$42=$U28)*($DC$3:$DC$42=$U27)*($DD$3:$DD$42="D"))+SUMPRODUCT(($CZ$3:$CZ$42=$U29)*($DC$3:$DC$42=$U27)*($DD$3:$DD$42="D"))+SUMPRODUCT(($CZ$3:$CZ$42=$U25)*($DC$3:$DC$42=$U27)*($DD$3:$DD$42="D"))+SUMPRODUCT(($CZ$3:$CZ$42=$U26)*($DC$3:$DC$42=$U27)*($DD$3:$DD$42="D"))</f>
        <v>0</v>
      </c>
      <c r="X27" s="169">
        <f>SUMPRODUCT(($CZ$3:$CZ$42=$U27)*($DC$3:$DC$42=$U28)*($DD$3:$DD$42="L"))+SUMPRODUCT(($CZ$3:$CZ$42=$U27)*($DC$3:$DC$42=$U29)*($DD$3:$DD$42="L"))+SUMPRODUCT(($CZ$3:$CZ$42=$U27)*($DC$3:$DC$42=$U25)*($DD$3:$DD$42="L"))+SUMPRODUCT(($CZ$3:$CZ$42=$U27)*($DC$3:$DC$42=$U26)*($DD$3:$DD$42="L"))+SUMPRODUCT(($CZ$3:$CZ$42=$U28)*($DC$3:$DC$42=$U27)*($DE$3:$DE$42="L"))+SUMPRODUCT(($CZ$3:$CZ$42=$U29)*($DC$3:$DC$42=$U27)*($DE$3:$DE$42="L"))+SUMPRODUCT(($CZ$3:$CZ$42=$U25)*($DC$3:$DC$42=$U27)*($DE$3:$DE$42="L"))+SUMPRODUCT(($CZ$3:$CZ$42=$U26)*($DC$3:$DC$42=$U27)*($DE$3:$DE$42="L"))</f>
        <v>0</v>
      </c>
      <c r="Y27" s="169">
        <f>SUMPRODUCT(($CZ$3:$CZ$42=$U27)*($DC$3:$DC$42=$U28)*$DA$3:$DA$42)+SUMPRODUCT(($CZ$3:$CZ$42=$U27)*($DC$3:$DC$42=$U29)*$DA$3:$DA$42)+SUMPRODUCT(($CZ$3:$CZ$42=$U27)*($DC$3:$DC$42=$U25)*$DA$3:$DA$42)+SUMPRODUCT(($CZ$3:$CZ$42=$U27)*($DC$3:$DC$42=$U26)*$DA$3:$DA$42)+SUMPRODUCT(($CZ$3:$CZ$42=$U28)*($DC$3:$DC$42=$U27)*$DB$3:$DB$42)+SUMPRODUCT(($CZ$3:$CZ$42=$U29)*($DC$3:$DC$42=$U27)*$DB$3:$DB$42)+SUMPRODUCT(($CZ$3:$CZ$42=$U25)*($DC$3:$DC$42=$U27)*$DB$3:$DB$42)+SUMPRODUCT(($CZ$3:$CZ$42=$U26)*($DC$3:$DC$42=$U27)*$DB$3:$DB$42)</f>
        <v>0</v>
      </c>
      <c r="Z27" s="169">
        <f>SUMPRODUCT(($CZ$3:$CZ$42=$U27)*($DC$3:$DC$42=$U28)*$DB$3:$DB$42)+SUMPRODUCT(($CZ$3:$CZ$42=$U27)*($DC$3:$DC$42=$U29)*$DB$3:$DB$42)+SUMPRODUCT(($CZ$3:$CZ$42=$U27)*($DC$3:$DC$42=$U25)*$DB$3:$DB$42)+SUMPRODUCT(($CZ$3:$CZ$42=$U27)*($DC$3:$DC$42=$U26)*$DB$3:$DB$42)+SUMPRODUCT(($CZ$3:$CZ$42=$U28)*($DC$3:$DC$42=$U27)*$DA$3:$DA$42)+SUMPRODUCT(($CZ$3:$CZ$42=$U29)*($DC$3:$DC$42=$U27)*$DA$3:$DA$42)+SUMPRODUCT(($CZ$3:$CZ$42=$U25)*($DC$3:$DC$42=$U27)*$DA$3:$DA$42)+SUMPRODUCT(($CZ$3:$CZ$42=$U26)*($DC$3:$DC$42=$U27)*$DA$3:$DA$42)</f>
        <v>0</v>
      </c>
      <c r="AA27" s="169">
        <f>Y27-Z27+1000</f>
        <v>1000</v>
      </c>
      <c r="AB27" s="169" t="str">
        <f>IF(U27&lt;&gt;"",V27*3+W27*1,"")</f>
        <v/>
      </c>
      <c r="AC27" s="169" t="str">
        <f>IF(U27&lt;&gt;"",VLOOKUP(U27,$B$4:$H$40,7,FALSE),"")</f>
        <v/>
      </c>
      <c r="AD27" s="169" t="str">
        <f>IF(U27&lt;&gt;"",VLOOKUP(U27,$B$4:$H$40,5,FALSE),"")</f>
        <v/>
      </c>
      <c r="AE27" s="169" t="str">
        <f>IF(U27&lt;&gt;"",VLOOKUP(U27,$B$4:$J$40,9,FALSE),"")</f>
        <v/>
      </c>
      <c r="AF27" s="169" t="str">
        <f>AB27</f>
        <v/>
      </c>
      <c r="AG27" s="169" t="str">
        <f>IF(U27&lt;&gt;"",RANK(AF27,$AF$25:$AF$29),"")</f>
        <v/>
      </c>
      <c r="AH27" s="169" t="str">
        <f>IF(U27&lt;&gt;"",SUMPRODUCT((AF$25:AF$29=AF27)*(AA$25:AA$29&gt;AA27)),"")</f>
        <v/>
      </c>
      <c r="AI27" s="169" t="str">
        <f>IF(U27&lt;&gt;"",SUMPRODUCT((AF$25:AF$29=AF27)*(AA$25:AA$29=AA27)*(Y$25:Y$29&gt;Y27)),"")</f>
        <v/>
      </c>
      <c r="AJ27" s="169" t="str">
        <f>IF(U27&lt;&gt;"",SUMPRODUCT((AF$25:AF$29=AF27)*(AA$25:AA$29=AA27)*(Y$25:Y$29=Y27)*(AC$25:AC$29&gt;AC27)),"")</f>
        <v/>
      </c>
      <c r="AK27" s="169" t="str">
        <f>IF(U27&lt;&gt;"",SUMPRODUCT((AF$25:AF$29=AF27)*(AA$25:AA$29=AA27)*(Y$25:Y$29=Y27)*(AC$25:AC$29=AC27)*(AD$25:AD$29&gt;AD27)),"")</f>
        <v/>
      </c>
      <c r="AL27" s="169" t="str">
        <f>IF(U27&lt;&gt;"",SUMPRODUCT((AF$25:AF$29=AF27)*(AA$25:AA$29=AA27)*(Y$25:Y$29=Y27)*(AC$25:AC$29=AC27)*(AD$25:AD$29=AD27)*(AE$25:AE$29&gt;AE27)),"")</f>
        <v/>
      </c>
      <c r="AM27" s="169" t="str">
        <f>IF(U27&lt;&gt;"",SUM(AG27:AL27),"")</f>
        <v/>
      </c>
      <c r="AN27" s="169" t="str">
        <f>IF(U27&lt;&gt;"",INDEX($U$25:$U$29,MATCH(3,$AM$25:$AM$29,0),0),"")</f>
        <v/>
      </c>
      <c r="AO27" s="169" t="str">
        <f>IF(Q26&lt;&gt;"",Q26,"")</f>
        <v/>
      </c>
      <c r="AP27" s="169">
        <f>SUMPRODUCT(($CZ$3:$CZ$42=$AO27)*($DC$3:$DC$42=$AO28)*($DD$3:$DD$42="W"))+SUMPRODUCT(($CZ$3:$CZ$42=$AO27)*($DC$3:$DC$42=$AO29)*($DD$3:$DD$42="W"))+SUMPRODUCT(($CZ$3:$CZ$42=$AO27)*($DC$3:$DC$42=$AO26)*($DD$3:$DD$42="W"))+SUMPRODUCT(($CZ$3:$CZ$42=$AO28)*($DC$3:$DC$42=$AO27)*($DE$3:$DE$42="W"))+SUMPRODUCT(($CZ$3:$CZ$42=$AO29)*($DC$3:$DC$42=$AO27)*($DE$3:$DE$42="W"))+SUMPRODUCT(($CZ$3:$CZ$42=$AO26)*($DC$3:$DC$42=$AO27)*($DE$3:$DE$42="W"))</f>
        <v>0</v>
      </c>
      <c r="AQ27" s="169">
        <f>SUMPRODUCT(($CZ$3:$CZ$42=$AO27)*($DC$3:$DC$42=$AO28)*($DD$3:$DD$42="D"))+SUMPRODUCT(($CZ$3:$CZ$42=$AO27)*($DC$3:$DC$42=$AO29)*($DD$3:$DD$42="D"))+SUMPRODUCT(($CZ$3:$CZ$42=$AO27)*($DC$3:$DC$42=$AO26)*($DD$3:$DD$42="D"))+SUMPRODUCT(($CZ$3:$CZ$42=$AO28)*($DC$3:$DC$42=$AO27)*($DD$3:$DD$42="D"))+SUMPRODUCT(($CZ$3:$CZ$42=$AO29)*($DC$3:$DC$42=$AO27)*($DD$3:$DD$42="D"))+SUMPRODUCT(($CZ$3:$CZ$42=$AO26)*($DC$3:$DC$42=$AO27)*($DD$3:$DD$42="D"))</f>
        <v>0</v>
      </c>
      <c r="AR27" s="169">
        <f>SUMPRODUCT(($CZ$3:$CZ$42=$AO27)*($DC$3:$DC$42=$AO28)*($DD$3:$DD$42="L"))+SUMPRODUCT(($CZ$3:$CZ$42=$AO27)*($DC$3:$DC$42=$AO29)*($DD$3:$DD$42="L"))+SUMPRODUCT(($CZ$3:$CZ$42=$AO27)*($DC$3:$DC$42=$AO26)*($DD$3:$DD$42="L"))+SUMPRODUCT(($CZ$3:$CZ$42=$AO28)*($DC$3:$DC$42=$AO27)*($DE$3:$DE$42="L"))+SUMPRODUCT(($CZ$3:$CZ$42=$AO29)*($DC$3:$DC$42=$AO27)*($DE$3:$DE$42="L"))+SUMPRODUCT(($CZ$3:$CZ$42=$AO26)*($DC$3:$DC$42=$AO27)*($DE$3:$DE$42="L"))</f>
        <v>0</v>
      </c>
      <c r="AS27" s="169">
        <f>SUMPRODUCT(($CZ$3:$CZ$42=$AO27)*($DC$3:$DC$42=$AO28)*$DA$3:$DA$42)+SUMPRODUCT(($CZ$3:$CZ$42=$AO27)*($DC$3:$DC$42=$AO29)*$DA$3:$DA$42)+SUMPRODUCT(($CZ$3:$CZ$42=$AO27)*($DC$3:$DC$42=$AO25)*$DA$3:$DA$42)+SUMPRODUCT(($CZ$3:$CZ$42=$AO27)*($DC$3:$DC$42=$AO26)*$DA$3:$DA$42)+SUMPRODUCT(($CZ$3:$CZ$42=$AO28)*($DC$3:$DC$42=$AO27)*$DB$3:$DB$42)+SUMPRODUCT(($CZ$3:$CZ$42=$AO29)*($DC$3:$DC$42=$AO27)*$DB$3:$DB$42)+SUMPRODUCT(($CZ$3:$CZ$42=$AO25)*($DC$3:$DC$42=$AO27)*$DB$3:$DB$42)+SUMPRODUCT(($CZ$3:$CZ$42=$AO26)*($DC$3:$DC$42=$AO27)*$DB$3:$DB$42)</f>
        <v>0</v>
      </c>
      <c r="AT27" s="169">
        <f>SUMPRODUCT(($CZ$3:$CZ$42=$AO27)*($DC$3:$DC$42=$AO28)*$DB$3:$DB$42)+SUMPRODUCT(($CZ$3:$CZ$42=$AO27)*($DC$3:$DC$42=$AO29)*$DB$3:$DB$42)+SUMPRODUCT(($CZ$3:$CZ$42=$AO27)*($DC$3:$DC$42=$AO25)*$DB$3:$DB$42)+SUMPRODUCT(($CZ$3:$CZ$42=$AO27)*($DC$3:$DC$42=$AO26)*$DB$3:$DB$42)+SUMPRODUCT(($CZ$3:$CZ$42=$AO28)*($DC$3:$DC$42=$AO27)*$DA$3:$DA$42)+SUMPRODUCT(($CZ$3:$CZ$42=$AO29)*($DC$3:$DC$42=$AO27)*$DA$3:$DA$42)+SUMPRODUCT(($CZ$3:$CZ$42=$AO25)*($DC$3:$DC$42=$AO27)*$DA$3:$DA$42)+SUMPRODUCT(($CZ$3:$CZ$42=$AO26)*($DC$3:$DC$42=$AO27)*$DA$3:$DA$42)</f>
        <v>0</v>
      </c>
      <c r="AU27" s="169">
        <f>AS27-AT27+1000</f>
        <v>1000</v>
      </c>
      <c r="AV27" s="169" t="str">
        <f>IF(AO27&lt;&gt;"",AP27*3+AQ27*1,"")</f>
        <v/>
      </c>
      <c r="AW27" s="169" t="str">
        <f>IF(AO27&lt;&gt;"",VLOOKUP(AO27,$B$4:$H$40,7,FALSE),"")</f>
        <v/>
      </c>
      <c r="AX27" s="169" t="str">
        <f>IF(AO27&lt;&gt;"",VLOOKUP(AO27,$B$4:$H$40,5,FALSE),"")</f>
        <v/>
      </c>
      <c r="AY27" s="169" t="str">
        <f>IF(AO27&lt;&gt;"",VLOOKUP(AO27,$B$4:$J$40,9,FALSE),"")</f>
        <v/>
      </c>
      <c r="AZ27" s="169" t="str">
        <f>AV27</f>
        <v/>
      </c>
      <c r="BA27" s="169" t="str">
        <f>IF(AO27&lt;&gt;"",RANK(AZ27,AZ$25:AZ$29),"")</f>
        <v/>
      </c>
      <c r="BB27" s="169" t="str">
        <f>IF(AO27&lt;&gt;"",SUMPRODUCT((AZ$25:AZ$29=AZ27)*(AU$25:AU$29&gt;AU27)),"")</f>
        <v/>
      </c>
      <c r="BC27" s="169" t="str">
        <f>IF(AO27&lt;&gt;"",SUMPRODUCT((AZ$25:AZ$29=AZ27)*(AU$25:AU$29=AU27)*(AS$25:AS$29&gt;AS27)),"")</f>
        <v/>
      </c>
      <c r="BD27" s="169" t="str">
        <f>IF(AO27&lt;&gt;"",SUMPRODUCT((AZ$25:AZ$29=AZ27)*(AU$25:AU$29=AU27)*(AS$25:AS$29=AS27)*(AW$25:AW$29&gt;AW27)),"")</f>
        <v/>
      </c>
      <c r="BE27" s="169" t="str">
        <f>IF(AO27&lt;&gt;"",SUMPRODUCT((AZ$25:AZ$29=AZ27)*(AU$25:AU$29=AU27)*(AS$25:AS$29=AS27)*(AW$25:AW$29=AW27)*(AX$25:AX$29&gt;AX27)),"")</f>
        <v/>
      </c>
      <c r="BF27" s="169" t="str">
        <f>IF(AO27&lt;&gt;"",SUMPRODUCT((AZ$25:AZ$29=AZ27)*(AU$25:AU$29=AU27)*(AS$25:AS$29=AS27)*(AW$25:AW$29=AW27)*(AX$25:AX$29=AX27)*(AY$25:AY$29&gt;AY27)),"")</f>
        <v/>
      </c>
      <c r="BG27" s="169" t="str">
        <f>IF(AO27&lt;&gt;"",SUM(BA27:BF27)+1,"")</f>
        <v/>
      </c>
      <c r="BH27" s="169" t="str">
        <f>IF(AO27&lt;&gt;"",INDEX(AO26:AO29,MATCH(3,BG26:BG29,0),0),"")</f>
        <v/>
      </c>
      <c r="BI27" s="169" t="str">
        <f>IF(R25&lt;&gt;"",R25,"")</f>
        <v/>
      </c>
      <c r="BJ27" s="169">
        <f>SUMPRODUCT(($CZ$3:$CZ$42=$BI27)*($DC$3:$DC$42=$BI28)*($DD$3:$DD$42="W"))+SUMPRODUCT(($CZ$3:$CZ$42=$BI27)*($DC$3:$DC$42=$BI29)*($DD$3:$DD$42="W"))+SUMPRODUCT(($CZ$3:$CZ$42=$BI27)*($DC$3:$DC$42=$BI30)*($DD$3:$DD$42="W"))+SUMPRODUCT(($CZ$3:$CZ$42=$BI28)*($DC$3:$DC$42=$BI27)*($DE$3:$DE$42="W"))+SUMPRODUCT(($CZ$3:$CZ$42=$BI29)*($DC$3:$DC$42=$BI27)*($DE$3:$DE$42="W"))+SUMPRODUCT(($CZ$3:$CZ$42=$BI30)*($DC$3:$DC$42=$BI27)*($DE$3:$DE$42="W"))</f>
        <v>0</v>
      </c>
      <c r="BK27" s="169">
        <f>SUMPRODUCT(($CZ$3:$CZ$42=$BI27)*($DC$3:$DC$42=$BI28)*($DD$3:$DD$42="D"))+SUMPRODUCT(($CZ$3:$CZ$42=$BI27)*($DC$3:$DC$42=$BI29)*($DD$3:$DD$42="D"))+SUMPRODUCT(($CZ$3:$CZ$42=$BI27)*($DC$3:$DC$42=$BI30)*($DD$3:$DD$42="D"))+SUMPRODUCT(($CZ$3:$CZ$42=$BI28)*($DC$3:$DC$42=$BI27)*($DD$3:$DD$42="D"))+SUMPRODUCT(($CZ$3:$CZ$42=$BI29)*($DC$3:$DC$42=$BI27)*($DD$3:$DD$42="D"))+SUMPRODUCT(($CZ$3:$CZ$42=$BI30)*($DC$3:$DC$42=$BI27)*($DD$3:$DD$42="D"))</f>
        <v>0</v>
      </c>
      <c r="BL27" s="169">
        <f>SUMPRODUCT(($CZ$3:$CZ$42=$BI27)*($DC$3:$DC$42=$BI28)*($DD$3:$DD$42="L"))+SUMPRODUCT(($CZ$3:$CZ$42=$BI27)*($DC$3:$DC$42=$BI29)*($DD$3:$DD$42="L"))+SUMPRODUCT(($CZ$3:$CZ$42=$BI27)*($DC$3:$DC$42=$BI30)*($DD$3:$DD$42="L"))+SUMPRODUCT(($CZ$3:$CZ$42=$BI28)*($DC$3:$DC$42=$BI27)*($DE$3:$DE$42="L"))+SUMPRODUCT(($CZ$3:$CZ$42=$BI29)*($DC$3:$DC$42=$BI27)*($DE$3:$DE$42="L"))+SUMPRODUCT(($CZ$3:$CZ$42=$BI30)*($DC$3:$DC$42=$BI27)*($DE$3:$DE$42="L"))</f>
        <v>0</v>
      </c>
      <c r="BM27" s="169">
        <f>SUMPRODUCT(($CZ$3:$CZ$42=$BI27)*($DC$3:$DC$42=$BI28)*$DA$3:$DA$42)+SUMPRODUCT(($CZ$3:$CZ$42=$BI27)*($DC$3:$DC$42=$BI29)*$DA$3:$DA$42)+SUMPRODUCT(($CZ$3:$CZ$42=$BI27)*($DC$3:$DC$42=$BI25)*$DA$3:$DA$42)+SUMPRODUCT(($CZ$3:$CZ$42=$BI27)*($DC$3:$DC$42=$BI26)*$DA$3:$DA$42)+SUMPRODUCT(($CZ$3:$CZ$42=$BI28)*($DC$3:$DC$42=$BI27)*$DB$3:$DB$42)+SUMPRODUCT(($CZ$3:$CZ$42=$BI29)*($DC$3:$DC$42=$BI27)*$DB$3:$DB$42)+SUMPRODUCT(($CZ$3:$CZ$42=$BI25)*($DC$3:$DC$42=$BI27)*$DB$3:$DB$42)+SUMPRODUCT(($CZ$3:$CZ$42=$BI26)*($DC$3:$DC$42=$BI27)*$DB$3:$DB$42)</f>
        <v>0</v>
      </c>
      <c r="BN27" s="169">
        <f>SUMPRODUCT(($CZ$3:$CZ$42=$BI27)*($DC$3:$DC$42=$BI28)*$DB$3:$DB$42)+SUMPRODUCT(($CZ$3:$CZ$42=$BI27)*($DC$3:$DC$42=$BI29)*$DB$3:$DB$42)+SUMPRODUCT(($CZ$3:$CZ$42=$BI27)*($DC$3:$DC$42=$BI25)*$DB$3:$DB$42)+SUMPRODUCT(($CZ$3:$CZ$42=$BI27)*($DC$3:$DC$42=$BI26)*$DB$3:$DB$42)+SUMPRODUCT(($CZ$3:$CZ$42=$BI28)*($DC$3:$DC$42=$BI27)*$DA$3:$DA$42)+SUMPRODUCT(($CZ$3:$CZ$42=$BI29)*($DC$3:$DC$42=$BI27)*$DA$3:$DA$42)+SUMPRODUCT(($CZ$3:$CZ$42=$BI25)*($DC$3:$DC$42=$BI27)*$DA$3:$DA$42)+SUMPRODUCT(($CZ$3:$CZ$42=$BI26)*($DC$3:$DC$42=$BI27)*$DA$3:$DA$42)</f>
        <v>0</v>
      </c>
      <c r="BO27" s="169">
        <f>BM27-BN27+1000</f>
        <v>1000</v>
      </c>
      <c r="BP27" s="169" t="str">
        <f>IF(Tournament!G99="S",IF(BI27&lt;&gt;"",BJ27*3+BK27*1,""),"")</f>
        <v/>
      </c>
      <c r="BQ27" s="169" t="str">
        <f>IF(BI27&lt;&gt;"",VLOOKUP(BI27,$B$4:$H$40,7,FALSE),"")</f>
        <v/>
      </c>
      <c r="BR27" s="169" t="str">
        <f>IF(BI27&lt;&gt;"",VLOOKUP(BI27,$B$4:$H$40,5,FALSE),"")</f>
        <v/>
      </c>
      <c r="BS27" s="169" t="str">
        <f>IF(BI27&lt;&gt;"",VLOOKUP(BI27,$B$4:$J$40,9,FALSE),"")</f>
        <v/>
      </c>
      <c r="BT27" s="169" t="str">
        <f>BP27</f>
        <v/>
      </c>
      <c r="BU27" s="169" t="str">
        <f>IF(BI27&lt;&gt;"",RANK(BT27,$BT$25:$BT$29),"")</f>
        <v/>
      </c>
      <c r="BV27" s="169" t="str">
        <f>IF(BI27&lt;&gt;"",SUMPRODUCT((BT$25:BT$29=BT27)*(BO$25:BO$29&gt;BO27)),"")</f>
        <v/>
      </c>
      <c r="BW27" s="169" t="str">
        <f>IF(BI27&lt;&gt;"",SUMPRODUCT((BT$25:BT$29=BT27)*(BO$25:BO$29=BO27)*(BM$25:BM$29&gt;BM27)),"")</f>
        <v/>
      </c>
      <c r="BX27" s="169" t="str">
        <f>IF(BI27&lt;&gt;"",SUMPRODUCT((BT$25:BT$29=BT27)*(BO$25:BO$29=BO27)*(BM$25:BM$29=BM27)*(BQ$25:BQ$29&gt;BQ27)),"")</f>
        <v/>
      </c>
      <c r="BY27" s="169" t="str">
        <f>IF(BI27&lt;&gt;"",SUMPRODUCT((BT$25:BT$29=BT27)*(BO$25:BO$29=BO27)*(BM$25:BM$29=BM27)*(BQ$25:BQ$29=BQ27)*(BR$25:BR$29&gt;BR27)),"")</f>
        <v/>
      </c>
      <c r="BZ27" s="169" t="str">
        <f>IF(BI27&lt;&gt;"",SUMPRODUCT((BT$25:BT$29=BT27)*(BO$25:BO$29=BO27)*(BM$25:BM$29=BM27)*(BQ$25:BQ$29=BQ27)*(BR$25:BR$29=BR27)*(BS$25:BS$29&gt;BS27)),"")</f>
        <v/>
      </c>
      <c r="CA27" s="169" t="str">
        <f>IF(BI27&lt;&gt;"",SUM(BU27:BZ27)+2,"")</f>
        <v/>
      </c>
      <c r="CB27" s="169" t="str">
        <f>IF(BI27&lt;&gt;"",INDEX(BI27:BI29,MATCH(3,CA27:CA29,0),0),"")</f>
        <v/>
      </c>
      <c r="CW27" s="169" t="str">
        <f>IF(CB27&lt;&gt;"",CB27,IF(BH27&lt;&gt;"",BH27,IF(AN27&lt;&gt;"",AN27,N27)))</f>
        <v>Truthahn</v>
      </c>
      <c r="CX27" s="169">
        <v>3</v>
      </c>
      <c r="CY27" s="169">
        <v>25</v>
      </c>
      <c r="CZ27" s="169" t="str">
        <f>Tournament!H37</f>
        <v>Rumänien</v>
      </c>
      <c r="DA27" s="169">
        <f>IF(AND(Tournament!J37&lt;&gt;"",Tournament!L37&lt;&gt;""),Tournament!J37,0)</f>
        <v>0</v>
      </c>
      <c r="DB27" s="169">
        <f>IF(AND(Tournament!L37&lt;&gt;"",Tournament!J37&lt;&gt;""),Tournament!L37,0)</f>
        <v>1</v>
      </c>
      <c r="DC27" s="169" t="str">
        <f>Tournament!N37</f>
        <v>Albanien</v>
      </c>
      <c r="DD27" s="169" t="str">
        <f>IF(AND(Tournament!J37&lt;&gt;"",Tournament!L37&lt;&gt;""),IF(DA27&gt;DB27,"W",IF(DA27=DB27,"D","L")),"")</f>
        <v>L</v>
      </c>
      <c r="DE27" s="169" t="str">
        <f t="shared" si="6"/>
        <v>W</v>
      </c>
      <c r="DH27" s="172" t="s">
        <v>10</v>
      </c>
      <c r="DI27" s="173" t="s">
        <v>20</v>
      </c>
      <c r="DJ27" s="173" t="s">
        <v>211</v>
      </c>
      <c r="DK27" s="173" t="s">
        <v>219</v>
      </c>
      <c r="DL27" s="172" t="s">
        <v>10</v>
      </c>
      <c r="DM27" s="172" t="s">
        <v>20</v>
      </c>
      <c r="DN27" s="172" t="s">
        <v>219</v>
      </c>
      <c r="DO27" s="172" t="s">
        <v>211</v>
      </c>
      <c r="DP27" s="173"/>
      <c r="DQ27" s="174">
        <f t="shared" si="7"/>
        <v>0</v>
      </c>
      <c r="DR27" s="174">
        <f t="shared" si="7"/>
        <v>3</v>
      </c>
      <c r="DS27" s="174">
        <f t="shared" si="7"/>
        <v>4</v>
      </c>
      <c r="DT27" s="174">
        <f t="shared" si="7"/>
        <v>1</v>
      </c>
      <c r="DU27" s="174">
        <f t="shared" si="8"/>
        <v>8</v>
      </c>
      <c r="DV27" s="173"/>
      <c r="DW27" s="173"/>
      <c r="DX27" s="173"/>
    </row>
    <row r="28" spans="1:128" x14ac:dyDescent="0.2">
      <c r="A28" s="169">
        <f>VLOOKUP(B28,$CW$25:$CX$29,2,FALSE)</f>
        <v>1</v>
      </c>
      <c r="B28" s="169" t="str">
        <f>'Countries and Timezone'!C22</f>
        <v>Kroatien</v>
      </c>
      <c r="C28" s="169">
        <f>SUMPRODUCT(($CZ$3:$CZ$42=$B28)*($DD$3:$DD$42="W"))+SUMPRODUCT(($DC$3:$DC$42=$B28)*($DE$3:$DE$42="W"))</f>
        <v>2</v>
      </c>
      <c r="D28" s="169">
        <f>SUMPRODUCT(($CZ$3:$CZ$42=$B28)*($DD$3:$DD$42="D"))+SUMPRODUCT(($DC$3:$DC$42=$B28)*($DE$3:$DE$42="D"))</f>
        <v>1</v>
      </c>
      <c r="E28" s="169">
        <f>SUMPRODUCT(($CZ$3:$CZ$42=$B28)*($DD$3:$DD$42="L"))+SUMPRODUCT(($DC$3:$DC$42=$B28)*($DE$3:$DE$42="L"))</f>
        <v>0</v>
      </c>
      <c r="F28" s="169">
        <f>SUMIF($CZ$3:$CZ$60,B28,$DA$3:$DA$60)+SUMIF($DC$3:$DC$60,B28,$DB$3:$DB$60)</f>
        <v>5</v>
      </c>
      <c r="G28" s="169">
        <f>SUMIF($DC$3:$DC$60,B28,$DA$3:$DA$60)+SUMIF($CZ$3:$CZ$60,B28,$DB$3:$DB$60)</f>
        <v>3</v>
      </c>
      <c r="H28" s="169">
        <f>F28-G28+1000</f>
        <v>1002</v>
      </c>
      <c r="I28" s="169">
        <f>C28*3+D28*1</f>
        <v>7</v>
      </c>
      <c r="J28" s="169">
        <v>18</v>
      </c>
      <c r="K28" s="169">
        <f>RANK(I28,I$25:I$29)</f>
        <v>1</v>
      </c>
      <c r="M28" s="169">
        <f>RANK(I28,$I$25:$I$29)+COUNTIF($I$25:I28,I28)-1</f>
        <v>1</v>
      </c>
      <c r="N28" s="169" t="str">
        <f>INDEX($B$25:$B$29,MATCH(4,$M$25:$M$29,0),0)</f>
        <v>Tschechien</v>
      </c>
      <c r="O28" s="169">
        <f>INDEX($K$25:$K$29,MATCH(N28,$B$25:$B$29,0),0)</f>
        <v>4</v>
      </c>
      <c r="P28" s="169" t="str">
        <f>IF(AND(P27&lt;&gt;"",O28=1),N28,"")</f>
        <v/>
      </c>
      <c r="Q28" s="169" t="str">
        <f>IF(AND(Q27&lt;&gt;"",O29=2),N29,"")</f>
        <v/>
      </c>
      <c r="U28" s="169" t="str">
        <f>IF(P28&lt;&gt;"",P28,"")</f>
        <v/>
      </c>
      <c r="V28" s="169">
        <f>SUMPRODUCT(($CZ$3:$CZ$42=$U28)*($DC$3:$DC$42=$U29)*($DD$3:$DD$42="W"))+SUMPRODUCT(($CZ$3:$CZ$42=$U28)*($DC$3:$DC$42=$U25)*($DD$3:$DD$42="W"))+SUMPRODUCT(($CZ$3:$CZ$42=$U28)*($DC$3:$DC$42=$U26)*($DD$3:$DD$42="W"))+SUMPRODUCT(($CZ$3:$CZ$42=$U28)*($DC$3:$DC$42=$U27)*($DD$3:$DD$42="W"))+SUMPRODUCT(($CZ$3:$CZ$42=$U29)*($DC$3:$DC$42=$U28)*($DE$3:$DE$42="W"))+SUMPRODUCT(($CZ$3:$CZ$42=$U25)*($DC$3:$DC$42=$U28)*($DE$3:$DE$42="W"))+SUMPRODUCT(($CZ$3:$CZ$42=$U26)*($DC$3:$DC$42=$U28)*($DE$3:$DE$42="W"))+SUMPRODUCT(($CZ$3:$CZ$42=$U27)*($DC$3:$DC$42=$U28)*($DE$3:$DE$42="W"))</f>
        <v>0</v>
      </c>
      <c r="W28" s="169">
        <f>SUMPRODUCT(($CZ$3:$CZ$42=$U28)*($DC$3:$DC$42=$U29)*($DD$3:$DD$42="D"))+SUMPRODUCT(($CZ$3:$CZ$42=$U28)*($DC$3:$DC$42=$U25)*($DD$3:$DD$42="D"))+SUMPRODUCT(($CZ$3:$CZ$42=$U28)*($DC$3:$DC$42=$U26)*($DD$3:$DD$42="D"))+SUMPRODUCT(($CZ$3:$CZ$42=$U28)*($DC$3:$DC$42=$U27)*($DD$3:$DD$42="D"))+SUMPRODUCT(($CZ$3:$CZ$42=$U29)*($DC$3:$DC$42=$U28)*($DD$3:$DD$42="D"))+SUMPRODUCT(($CZ$3:$CZ$42=$U25)*($DC$3:$DC$42=$U28)*($DD$3:$DD$42="D"))+SUMPRODUCT(($CZ$3:$CZ$42=$U26)*($DC$3:$DC$42=$U28)*($DD$3:$DD$42="D"))+SUMPRODUCT(($CZ$3:$CZ$42=$U27)*($DC$3:$DC$42=$U28)*($DD$3:$DD$42="D"))</f>
        <v>0</v>
      </c>
      <c r="X28" s="169">
        <f>SUMPRODUCT(($CZ$3:$CZ$42=$U28)*($DC$3:$DC$42=$U29)*($DD$3:$DD$42="L"))+SUMPRODUCT(($CZ$3:$CZ$42=$U28)*($DC$3:$DC$42=$U25)*($DD$3:$DD$42="L"))+SUMPRODUCT(($CZ$3:$CZ$42=$U28)*($DC$3:$DC$42=$U26)*($DD$3:$DD$42="L"))+SUMPRODUCT(($CZ$3:$CZ$42=$U28)*($DC$3:$DC$42=$U27)*($DD$3:$DD$42="L"))+SUMPRODUCT(($CZ$3:$CZ$42=$U29)*($DC$3:$DC$42=$U28)*($DE$3:$DE$42="L"))+SUMPRODUCT(($CZ$3:$CZ$42=$U25)*($DC$3:$DC$42=$U28)*($DE$3:$DE$42="L"))+SUMPRODUCT(($CZ$3:$CZ$42=$U26)*($DC$3:$DC$42=$U28)*($DE$3:$DE$42="L"))+SUMPRODUCT(($CZ$3:$CZ$42=$U27)*($DC$3:$DC$42=$U28)*($DE$3:$DE$42="L"))</f>
        <v>0</v>
      </c>
      <c r="Y28" s="169">
        <f>SUMPRODUCT(($CZ$3:$CZ$42=$U28)*($DC$3:$DC$42=$U29)*$DA$3:$DA$42)+SUMPRODUCT(($CZ$3:$CZ$42=$U28)*($DC$3:$DC$42=$U25)*$DA$3:$DA$42)+SUMPRODUCT(($CZ$3:$CZ$42=$U28)*($DC$3:$DC$42=$U26)*$DA$3:$DA$42)+SUMPRODUCT(($CZ$3:$CZ$42=$U28)*($DC$3:$DC$42=$U27)*$DA$3:$DA$42)+SUMPRODUCT(($CZ$3:$CZ$42=$U29)*($DC$3:$DC$42=$U28)*$DB$3:$DB$42)+SUMPRODUCT(($CZ$3:$CZ$42=$U25)*($DC$3:$DC$42=$U28)*$DB$3:$DB$42)+SUMPRODUCT(($CZ$3:$CZ$42=$U26)*($DC$3:$DC$42=$U28)*$DB$3:$DB$42)+SUMPRODUCT(($CZ$3:$CZ$42=$U27)*($DC$3:$DC$42=$U28)*$DB$3:$DB$42)</f>
        <v>0</v>
      </c>
      <c r="Z28" s="169">
        <f>SUMPRODUCT(($CZ$3:$CZ$42=$U28)*($DC$3:$DC$42=$U29)*$DB$3:$DB$42)+SUMPRODUCT(($CZ$3:$CZ$42=$U28)*($DC$3:$DC$42=$U25)*$DB$3:$DB$42)+SUMPRODUCT(($CZ$3:$CZ$42=$U28)*($DC$3:$DC$42=$U26)*$DB$3:$DB$42)+SUMPRODUCT(($CZ$3:$CZ$42=$U28)*($DC$3:$DC$42=$U27)*$DB$3:$DB$42)+SUMPRODUCT(($CZ$3:$CZ$42=$U29)*($DC$3:$DC$42=$U28)*$DA$3:$DA$42)+SUMPRODUCT(($CZ$3:$CZ$42=$U25)*($DC$3:$DC$42=$U28)*$DA$3:$DA$42)+SUMPRODUCT(($CZ$3:$CZ$42=$U26)*($DC$3:$DC$42=$U28)*$DA$3:$DA$42)+SUMPRODUCT(($CZ$3:$CZ$42=$U27)*($DC$3:$DC$42=$U28)*$DA$3:$DA$42)</f>
        <v>0</v>
      </c>
      <c r="AA28" s="169">
        <f>Y28-Z28+1000</f>
        <v>1000</v>
      </c>
      <c r="AB28" s="169" t="str">
        <f>IF(U28&lt;&gt;"",V28*3+W28*1,"")</f>
        <v/>
      </c>
      <c r="AC28" s="169" t="str">
        <f>IF(U28&lt;&gt;"",VLOOKUP(U28,$B$4:$H$40,7,FALSE),"")</f>
        <v/>
      </c>
      <c r="AD28" s="169" t="str">
        <f>IF(U28&lt;&gt;"",VLOOKUP(U28,$B$4:$H$40,5,FALSE),"")</f>
        <v/>
      </c>
      <c r="AE28" s="169" t="str">
        <f>IF(U28&lt;&gt;"",VLOOKUP(U28,$B$4:$J$40,9,FALSE),"")</f>
        <v/>
      </c>
      <c r="AF28" s="169" t="str">
        <f>AB28</f>
        <v/>
      </c>
      <c r="AG28" s="169" t="str">
        <f>IF(U28&lt;&gt;"",RANK(AF28,$AF$25:$AF$29),"")</f>
        <v/>
      </c>
      <c r="AH28" s="169" t="str">
        <f>IF(U28&lt;&gt;"",SUMPRODUCT((AF$25:AF$29=AF28)*(AA$25:AA$29&gt;AA28)),"")</f>
        <v/>
      </c>
      <c r="AI28" s="169" t="str">
        <f>IF(U28&lt;&gt;"",SUMPRODUCT((AF$25:AF$29=AF28)*(AA$25:AA$29=AA28)*(Y$25:Y$29&gt;Y28)),"")</f>
        <v/>
      </c>
      <c r="AJ28" s="169" t="str">
        <f>IF(U28&lt;&gt;"",SUMPRODUCT((AF$25:AF$29=AF28)*(AA$25:AA$29=AA28)*(Y$25:Y$29=Y28)*(AC$25:AC$29&gt;AC28)),"")</f>
        <v/>
      </c>
      <c r="AK28" s="169" t="str">
        <f>IF(U28&lt;&gt;"",SUMPRODUCT((AF$25:AF$29=AF28)*(AA$25:AA$29=AA28)*(Y$25:Y$29=Y28)*(AC$25:AC$29=AC28)*(AD$25:AD$29&gt;AD28)),"")</f>
        <v/>
      </c>
      <c r="AL28" s="169" t="str">
        <f>IF(U28&lt;&gt;"",SUMPRODUCT((AF$25:AF$29=AF28)*(AA$25:AA$29=AA28)*(Y$25:Y$29=Y28)*(AC$25:AC$29=AC28)*(AD$25:AD$29=AD28)*(AE$25:AE$29&gt;AE28)),"")</f>
        <v/>
      </c>
      <c r="AM28" s="169" t="str">
        <f>IF(U28&lt;&gt;"",SUM(AG28:AL28),"")</f>
        <v/>
      </c>
      <c r="AN28" s="169" t="str">
        <f>IF(U28&lt;&gt;"",INDEX($U$25:$U$29,MATCH(4,$AM$25:$AM$29,0),0),"")</f>
        <v/>
      </c>
      <c r="AO28" s="169" t="str">
        <f>IF(Q27&lt;&gt;"",Q27,"")</f>
        <v/>
      </c>
      <c r="AP28" s="169" t="str">
        <f>IF($AO28&lt;&gt;"",SUMPRODUCT(($CZ$3:$CZ$42=$AO28)*($DC$3:$DC$42=$AO29)*($DD$3:$DD$42="W"))+SUMPRODUCT(($CZ$3:$CZ$42=$AO28)*($DC$3:$DC$42=$AO26)*($DD$3:$DD$42="W"))+SUMPRODUCT(($CZ$3:$CZ$42=$AO28)*($DC$3:$DC$42=$AO27)*($DD$3:$DD$42="W"))+SUMPRODUCT(($CZ$3:$CZ$42=$AO29)*($DC$3:$DC$42=$AO28)*($DE$3:$DE$42="W"))+SUMPRODUCT(($CZ$3:$CZ$42=$AO26)*($DC$3:$DC$42=$AO28)*($DE$3:$DE$42="W"))+SUMPRODUCT(($CZ$3:$CZ$42=$AO27)*($DC$3:$DC$42=$AO28)*($DE$3:$DE$42="W")),"")</f>
        <v/>
      </c>
      <c r="AQ28" s="169" t="str">
        <f>IF($AO28&lt;&gt;"",SUMPRODUCT(($CZ$3:$CZ$42=$AO28)*($DC$3:$DC$42=$AO29)*($DD$3:$DD$42="D"))+SUMPRODUCT(($CZ$3:$CZ$42=$AO28)*($DC$3:$DC$42=$AO26)*($DD$3:$DD$42="D"))+SUMPRODUCT(($CZ$3:$CZ$42=$AO28)*($DC$3:$DC$42=$AO27)*($DD$3:$DD$42="D"))+SUMPRODUCT(($CZ$3:$CZ$42=$AO29)*($DC$3:$DC$42=$AO28)*($DD$3:$DD$42="D"))+SUMPRODUCT(($CZ$3:$CZ$42=$AO26)*($DC$3:$DC$42=$AO28)*($DD$3:$DD$42="D"))+SUMPRODUCT(($CZ$3:$CZ$42=$AO27)*($DC$3:$DC$42=$AO28)*($DD$3:$DD$42="D")),"")</f>
        <v/>
      </c>
      <c r="AR28" s="169" t="str">
        <f>IF($AO28&lt;&gt;"",SUMPRODUCT(($CZ$3:$CZ$42=$AO28)*($DC$3:$DC$42=$AO29)*($DD$3:$DD$42="L"))+SUMPRODUCT(($CZ$3:$CZ$42=$AO28)*($DC$3:$DC$42=$AO26)*($DD$3:$DD$42="L"))+SUMPRODUCT(($CZ$3:$CZ$42=$AO28)*($DC$3:$DC$42=$AO27)*($DD$3:$DD$42="L"))+SUMPRODUCT(($CZ$3:$CZ$42=$AO29)*($DC$3:$DC$42=$AO28)*($DE$3:$DE$42="L"))+SUMPRODUCT(($CZ$3:$CZ$42=$AO26)*($DC$3:$DC$42=$AO28)*($DE$3:$DE$42="L"))+SUMPRODUCT(($CZ$3:$CZ$42=$AO27)*($DC$3:$DC$42=$AO28)*($DE$3:$DE$42="L")),"")</f>
        <v/>
      </c>
      <c r="AS28" s="169">
        <f>SUMPRODUCT(($CZ$3:$CZ$42=$AO28)*($DC$3:$DC$42=$AO29)*$DA$3:$DA$42)+SUMPRODUCT(($CZ$3:$CZ$42=$AO28)*($DC$3:$DC$42=$AO25)*$DA$3:$DA$42)+SUMPRODUCT(($CZ$3:$CZ$42=$AO28)*($DC$3:$DC$42=$AO26)*$DA$3:$DA$42)+SUMPRODUCT(($CZ$3:$CZ$42=$AO28)*($DC$3:$DC$42=$AO27)*$DA$3:$DA$42)+SUMPRODUCT(($CZ$3:$CZ$42=$AO29)*($DC$3:$DC$42=$AO28)*$DB$3:$DB$42)+SUMPRODUCT(($CZ$3:$CZ$42=$AO25)*($DC$3:$DC$42=$AO28)*$DB$3:$DB$42)+SUMPRODUCT(($CZ$3:$CZ$42=$AO26)*($DC$3:$DC$42=$AO28)*$DB$3:$DB$42)+SUMPRODUCT(($CZ$3:$CZ$42=$AO27)*($DC$3:$DC$42=$AO28)*$DB$3:$DB$42)</f>
        <v>0</v>
      </c>
      <c r="AT28" s="169">
        <f>SUMPRODUCT(($CZ$3:$CZ$42=$AO28)*($DC$3:$DC$42=$AO29)*$DB$3:$DB$42)+SUMPRODUCT(($CZ$3:$CZ$42=$AO28)*($DC$3:$DC$42=$AO25)*$DB$3:$DB$42)+SUMPRODUCT(($CZ$3:$CZ$42=$AO28)*($DC$3:$DC$42=$AO26)*$DB$3:$DB$42)+SUMPRODUCT(($CZ$3:$CZ$42=$AO28)*($DC$3:$DC$42=$AO27)*$DB$3:$DB$42)+SUMPRODUCT(($CZ$3:$CZ$42=$AO29)*($DC$3:$DC$42=$AO28)*$DA$3:$DA$42)+SUMPRODUCT(($CZ$3:$CZ$42=$AO25)*($DC$3:$DC$42=$AO28)*$DA$3:$DA$42)+SUMPRODUCT(($CZ$3:$CZ$42=$AO26)*($DC$3:$DC$42=$AO28)*$DA$3:$DA$42)+SUMPRODUCT(($CZ$3:$CZ$42=$AO27)*($DC$3:$DC$42=$AO28)*$DA$3:$DA$42)</f>
        <v>0</v>
      </c>
      <c r="AU28" s="169">
        <f>AS28-AT28+1000</f>
        <v>1000</v>
      </c>
      <c r="AV28" s="169" t="str">
        <f>IF(AO28&lt;&gt;"",AP28*3+AQ28*1,"")</f>
        <v/>
      </c>
      <c r="AW28" s="169" t="str">
        <f>IF(AO28&lt;&gt;"",VLOOKUP(AO28,$B$4:$H$40,7,FALSE),"")</f>
        <v/>
      </c>
      <c r="AX28" s="169" t="str">
        <f>IF(AO28&lt;&gt;"",VLOOKUP(AO28,$B$4:$H$40,5,FALSE),"")</f>
        <v/>
      </c>
      <c r="AY28" s="169" t="str">
        <f>IF(AO28&lt;&gt;"",VLOOKUP(AO28,$B$4:$J$40,9,FALSE),"")</f>
        <v/>
      </c>
      <c r="AZ28" s="169" t="str">
        <f>AV28</f>
        <v/>
      </c>
      <c r="BA28" s="169" t="str">
        <f>IF(AO28&lt;&gt;"",RANK(AZ28,AZ$25:AZ$29),"")</f>
        <v/>
      </c>
      <c r="BB28" s="169" t="str">
        <f>IF(AO28&lt;&gt;"",SUMPRODUCT((AZ$25:AZ$29=AZ28)*(AU$25:AU$29&gt;AU28)),"")</f>
        <v/>
      </c>
      <c r="BC28" s="169" t="str">
        <f>IF(AO28&lt;&gt;"",SUMPRODUCT((AZ$25:AZ$29=AZ28)*(AU$25:AU$29=AU28)*(AS$25:AS$29&gt;AS28)),"")</f>
        <v/>
      </c>
      <c r="BD28" s="169" t="str">
        <f>IF(AO28&lt;&gt;"",SUMPRODUCT((AZ$25:AZ$29=AZ28)*(AU$25:AU$29=AU28)*(AS$25:AS$29=AS28)*(AW$25:AW$29&gt;AW28)),"")</f>
        <v/>
      </c>
      <c r="BE28" s="169" t="str">
        <f>IF(AO28&lt;&gt;"",SUMPRODUCT((AZ$25:AZ$29=AZ28)*(AU$25:AU$29=AU28)*(AS$25:AS$29=AS28)*(AW$25:AW$29=AW28)*(AX$25:AX$29&gt;AX28)),"")</f>
        <v/>
      </c>
      <c r="BF28" s="169" t="str">
        <f>IF(AO28&lt;&gt;"",SUMPRODUCT((AZ$25:AZ$29=AZ28)*(AU$25:AU$29=AU28)*(AS$25:AS$29=AS28)*(AW$25:AW$29=AW28)*(AX$25:AX$29=AX28)*(AY$25:AY$29&gt;AY28)),"")</f>
        <v/>
      </c>
      <c r="BG28" s="169" t="str">
        <f>IF(AO28&lt;&gt;"",SUM(BA28:BF28)+1,"")</f>
        <v/>
      </c>
      <c r="BH28" s="169" t="str">
        <f>IF(AO28&lt;&gt;"",INDEX(AO26:AO29,MATCH(4,BG26:BG29,0),0),"")</f>
        <v/>
      </c>
      <c r="BI28" s="169" t="str">
        <f>IF(R26&lt;&gt;"",R26,"")</f>
        <v/>
      </c>
      <c r="BJ28" s="169">
        <f>SUMPRODUCT(($CZ$3:$CZ$42=$BI28)*($DC$3:$DC$42=$BI29)*($DD$3:$DD$42="W"))+SUMPRODUCT(($CZ$3:$CZ$42=$BI28)*($DC$3:$DC$42=$BI30)*($DD$3:$DD$42="W"))+SUMPRODUCT(($CZ$3:$CZ$42=$BI28)*($DC$3:$DC$42=$BI27)*($DD$3:$DD$42="W"))+SUMPRODUCT(($CZ$3:$CZ$42=$BI29)*($DC$3:$DC$42=$BI28)*($DE$3:$DE$42="W"))+SUMPRODUCT(($CZ$3:$CZ$42=$BI30)*($DC$3:$DC$42=$BI28)*($DE$3:$DE$42="W"))+SUMPRODUCT(($CZ$3:$CZ$42=$BI27)*($DC$3:$DC$42=$BI28)*($DE$3:$DE$42="W"))</f>
        <v>0</v>
      </c>
      <c r="BK28" s="169">
        <f>SUMPRODUCT(($CZ$3:$CZ$42=$BI28)*($DC$3:$DC$42=$BI29)*($DD$3:$DD$42="D"))+SUMPRODUCT(($CZ$3:$CZ$42=$BI28)*($DC$3:$DC$42=$BI30)*($DD$3:$DD$42="D"))+SUMPRODUCT(($CZ$3:$CZ$42=$BI28)*($DC$3:$DC$42=$BI27)*($DD$3:$DD$42="D"))+SUMPRODUCT(($CZ$3:$CZ$42=$BI29)*($DC$3:$DC$42=$BI28)*($DD$3:$DD$42="D"))+SUMPRODUCT(($CZ$3:$CZ$42=$BI30)*($DC$3:$DC$42=$BI28)*($DD$3:$DD$42="D"))+SUMPRODUCT(($CZ$3:$CZ$42=$BI27)*($DC$3:$DC$42=$BI28)*($DD$3:$DD$42="D"))</f>
        <v>0</v>
      </c>
      <c r="BL28" s="169">
        <f>SUMPRODUCT(($CZ$3:$CZ$42=$BI28)*($DC$3:$DC$42=$BI29)*($DD$3:$DD$42="L"))+SUMPRODUCT(($CZ$3:$CZ$42=$BI28)*($DC$3:$DC$42=$BI30)*($DD$3:$DD$42="L"))+SUMPRODUCT(($CZ$3:$CZ$42=$BI28)*($DC$3:$DC$42=$BI27)*($DD$3:$DD$42="L"))+SUMPRODUCT(($CZ$3:$CZ$42=$BI29)*($DC$3:$DC$42=$BI28)*($DE$3:$DE$42="L"))+SUMPRODUCT(($CZ$3:$CZ$42=$BI30)*($DC$3:$DC$42=$BI28)*($DE$3:$DE$42="L"))+SUMPRODUCT(($CZ$3:$CZ$42=$BI27)*($DC$3:$DC$42=$BI28)*($DE$3:$DE$42="L"))</f>
        <v>0</v>
      </c>
      <c r="BM28" s="169">
        <f>SUMPRODUCT(($CZ$3:$CZ$42=$BI28)*($DC$3:$DC$42=$BI29)*$DA$3:$DA$42)+SUMPRODUCT(($CZ$3:$CZ$42=$BI28)*($DC$3:$DC$42=$BI25)*$DA$3:$DA$42)+SUMPRODUCT(($CZ$3:$CZ$42=$BI28)*($DC$3:$DC$42=$BI26)*$DA$3:$DA$42)+SUMPRODUCT(($CZ$3:$CZ$42=$BI28)*($DC$3:$DC$42=$BI27)*$DA$3:$DA$42)+SUMPRODUCT(($CZ$3:$CZ$42=$BI29)*($DC$3:$DC$42=$BI28)*$DB$3:$DB$42)+SUMPRODUCT(($CZ$3:$CZ$42=$BI25)*($DC$3:$DC$42=$BI28)*$DB$3:$DB$42)+SUMPRODUCT(($CZ$3:$CZ$42=$BI26)*($DC$3:$DC$42=$BI28)*$DB$3:$DB$42)+SUMPRODUCT(($CZ$3:$CZ$42=$BI27)*($DC$3:$DC$42=$BI28)*$DB$3:$DB$42)</f>
        <v>0</v>
      </c>
      <c r="BN28" s="169">
        <f>SUMPRODUCT(($CZ$3:$CZ$42=$BI28)*($DC$3:$DC$42=$BI29)*$DB$3:$DB$42)+SUMPRODUCT(($CZ$3:$CZ$42=$BI28)*($DC$3:$DC$42=$BI25)*$DB$3:$DB$42)+SUMPRODUCT(($CZ$3:$CZ$42=$BI28)*($DC$3:$DC$42=$BI26)*$DB$3:$DB$42)+SUMPRODUCT(($CZ$3:$CZ$42=$BI28)*($DC$3:$DC$42=$BI27)*$DB$3:$DB$42)+SUMPRODUCT(($CZ$3:$CZ$42=$BI29)*($DC$3:$DC$42=$BI28)*$DA$3:$DA$42)+SUMPRODUCT(($CZ$3:$CZ$42=$BI25)*($DC$3:$DC$42=$BI28)*$DA$3:$DA$42)+SUMPRODUCT(($CZ$3:$CZ$42=$BI26)*($DC$3:$DC$42=$BI28)*$DA$3:$DA$42)+SUMPRODUCT(($CZ$3:$CZ$42=$BI27)*($DC$3:$DC$42=$BI28)*$DA$3:$DA$42)</f>
        <v>0</v>
      </c>
      <c r="BO28" s="169">
        <f>BM28-BN28+1000</f>
        <v>1000</v>
      </c>
      <c r="BP28" s="169" t="str">
        <f>IF(BI28&lt;&gt;"",BJ28*3+BK28*1,"")</f>
        <v/>
      </c>
      <c r="BQ28" s="169" t="str">
        <f>IF(BI28&lt;&gt;"",VLOOKUP(BI28,$B$4:$H$40,7,FALSE),"")</f>
        <v/>
      </c>
      <c r="BR28" s="169" t="str">
        <f>IF(BI28&lt;&gt;"",VLOOKUP(BI28,$B$4:$H$40,5,FALSE),"")</f>
        <v/>
      </c>
      <c r="BS28" s="169" t="str">
        <f>IF(BI28&lt;&gt;"",VLOOKUP(BI28,$B$4:$J$40,9,FALSE),"")</f>
        <v/>
      </c>
      <c r="BT28" s="169" t="str">
        <f>BP28</f>
        <v/>
      </c>
      <c r="BU28" s="169" t="str">
        <f>IF(BI28&lt;&gt;"",RANK(BT28,$BT$25:$BT$29),"")</f>
        <v/>
      </c>
      <c r="BV28" s="169" t="str">
        <f>IF(BI28&lt;&gt;"",SUMPRODUCT((BT$25:BT$29=BT28)*(BO$25:BO$29&gt;BO28)),"")</f>
        <v/>
      </c>
      <c r="BW28" s="169" t="str">
        <f>IF(BI28&lt;&gt;"",SUMPRODUCT((BT$25:BT$29=BT28)*(BO$25:BO$29=BO28)*(BM$25:BM$29&gt;BM28)),"")</f>
        <v/>
      </c>
      <c r="BX28" s="169" t="str">
        <f>IF(BI28&lt;&gt;"",SUMPRODUCT((BT$25:BT$29=BT28)*(BO$25:BO$29=BO28)*(BM$25:BM$29=BM28)*(BQ$25:BQ$29&gt;BQ28)),"")</f>
        <v/>
      </c>
      <c r="BY28" s="169" t="str">
        <f>IF(BI28&lt;&gt;"",SUMPRODUCT((BT$25:BT$29=BT28)*(BO$25:BO$29=BO28)*(BM$25:BM$29=BM28)*(BQ$25:BQ$29=BQ28)*(BR$25:BR$29&gt;BR28)),"")</f>
        <v/>
      </c>
      <c r="BZ28" s="169" t="str">
        <f>IF(BI28&lt;&gt;"",SUMPRODUCT((BT$25:BT$29=BT28)*(BO$25:BO$29=BO28)*(BM$25:BM$29=BM28)*(BQ$25:BQ$29=BQ28)*(BR$25:BR$29=BR28)*(BS$25:BS$29&gt;BS28)),"")</f>
        <v/>
      </c>
      <c r="CA28" s="169" t="str">
        <f>IF(BI28&lt;&gt;"",SUM(BU28:BZ28)+2,"")</f>
        <v/>
      </c>
      <c r="CB28" s="169" t="str">
        <f>IF(BI28&lt;&gt;"",INDEX(BI27:BI29,MATCH(4,CA27:CA29,0),0),"")</f>
        <v/>
      </c>
      <c r="CC28" s="169" t="str">
        <f>IF(S25&lt;&gt;"",S25,"")</f>
        <v/>
      </c>
      <c r="CD28" s="169">
        <f>SUMPRODUCT(($CZ$3:$CZ$42=$CC28)*($DC$3:$DC$42=$CC29)*($DD$3:$DD$42="W"))+SUMPRODUCT(($CZ$3:$CZ$42=$CC28)*($DC$3:$DC$42=$CC30)*($DD$3:$DD$42="W"))+SUMPRODUCT(($CZ$3:$CZ$42=$CC28)*($DC$3:$DC$42=$CC31)*($DD$3:$DD$42="W"))+SUMPRODUCT(($CZ$3:$CZ$42=$CC29)*($DC$3:$DC$42=$CC28)*($DE$3:$DE$42="W"))+SUMPRODUCT(($CZ$3:$CZ$42=$CC30)*($DC$3:$DC$42=$CC28)*($DE$3:$DE$42="W"))+SUMPRODUCT(($CZ$3:$CZ$42=$CC31)*($DC$3:$DC$42=$CC28)*($DE$3:$DE$42="W"))</f>
        <v>0</v>
      </c>
      <c r="CE28" s="169">
        <f>SUMPRODUCT(($CZ$3:$CZ$42=$CC28)*($DC$3:$DC$42=$CC29)*($DD$3:$DD$42="D"))+SUMPRODUCT(($CZ$3:$CZ$42=$CC28)*($DC$3:$DC$42=$CC30)*($DD$3:$DD$42="D"))+SUMPRODUCT(($CZ$3:$CZ$42=$CC28)*($DC$3:$DC$42=$CC31)*($DD$3:$DD$42="D"))+SUMPRODUCT(($CZ$3:$CZ$42=$CC29)*($DC$3:$DC$42=$CC28)*($DD$3:$DD$42="D"))+SUMPRODUCT(($CZ$3:$CZ$42=$CC30)*($DC$3:$DC$42=$CC28)*($DD$3:$DD$42="D"))+SUMPRODUCT(($CZ$3:$CZ$42=$CC31)*($DC$3:$DC$42=$CC28)*($DD$3:$DD$42="D"))</f>
        <v>0</v>
      </c>
      <c r="CF28" s="169">
        <f>SUMPRODUCT(($CZ$3:$CZ$42=$CC28)*($DC$3:$DC$42=$CC29)*($DD$3:$DD$42="L"))+SUMPRODUCT(($CZ$3:$CZ$42=$CC28)*($DC$3:$DC$42=$CC30)*($DD$3:$DD$42="L"))+SUMPRODUCT(($CZ$3:$CZ$42=$CC28)*($DC$3:$DC$42=$CC31)*($DD$3:$DD$42="L"))+SUMPRODUCT(($CZ$3:$CZ$42=$CC29)*($DC$3:$DC$42=$CC28)*($DE$3:$DE$42="L"))+SUMPRODUCT(($CZ$3:$CZ$42=$CC30)*($DC$3:$DC$42=$CC28)*($DE$3:$DE$42="L"))+SUMPRODUCT(($CZ$3:$CZ$42=$CC31)*($DC$3:$DC$42=$CC28)*($DE$3:$DE$42="L"))</f>
        <v>0</v>
      </c>
      <c r="CG28" s="169">
        <f>SUMPRODUCT(($CZ$3:$CZ$42=$CC28)*($DC$3:$DC$42=$CC29)*$DA$3:$DA$42)+SUMPRODUCT(($CZ$3:$CZ$42=$CC28)*($DC$3:$DC$42=$CC25)*$DA$3:$DA$42)+SUMPRODUCT(($CZ$3:$CZ$42=$CC28)*($DC$3:$DC$42=$CC26)*$DA$3:$DA$42)+SUMPRODUCT(($CZ$3:$CZ$42=$CC28)*($DC$3:$DC$42=$CC27)*$DA$3:$DA$42)+SUMPRODUCT(($CZ$3:$CZ$42=$CC29)*($DC$3:$DC$42=$CC28)*$DB$3:$DB$42)+SUMPRODUCT(($CZ$3:$CZ$42=$CC25)*($DC$3:$DC$42=$CC28)*$DB$3:$DB$42)+SUMPRODUCT(($CZ$3:$CZ$42=$CC26)*($DC$3:$DC$42=$CC28)*$DB$3:$DB$42)+SUMPRODUCT(($CZ$3:$CZ$42=$CC27)*($DC$3:$DC$42=$CC28)*$DB$3:$DB$42)</f>
        <v>0</v>
      </c>
      <c r="CH28" s="169">
        <f>SUMPRODUCT(($CZ$3:$CZ$42=$CC28)*($DC$3:$DC$42=$CC29)*$DB$3:$DB$42)+SUMPRODUCT(($CZ$3:$CZ$42=$CC28)*($DC$3:$DC$42=$CC25)*$DB$3:$DB$42)+SUMPRODUCT(($CZ$3:$CZ$42=$CC28)*($DC$3:$DC$42=$CC26)*$DB$3:$DB$42)+SUMPRODUCT(($CZ$3:$CZ$42=$CC28)*($DC$3:$DC$42=$CC27)*$DB$3:$DB$42)+SUMPRODUCT(($CZ$3:$CZ$42=$CC29)*($DC$3:$DC$42=$CC28)*$DA$3:$DA$42)+SUMPRODUCT(($CZ$3:$CZ$42=$CC25)*($DC$3:$DC$42=$CC28)*$DA$3:$DA$42)+SUMPRODUCT(($CZ$3:$CZ$42=$CC26)*($DC$3:$DC$42=$CC28)*$DA$3:$DA$42)+SUMPRODUCT(($CZ$3:$CZ$42=$CC27)*($DC$3:$DC$42=$CC28)*$DA$3:$DA$42)</f>
        <v>0</v>
      </c>
      <c r="CI28" s="169">
        <f>CG28-CH28+1000</f>
        <v>1000</v>
      </c>
      <c r="CJ28" s="169" t="str">
        <f>IF(CC28&lt;&gt;"",CD28*3+CE28*1,"")</f>
        <v/>
      </c>
      <c r="CK28" s="169" t="str">
        <f>IF(CC28&lt;&gt;"",VLOOKUP(CC28,$B$4:$H$40,7,FALSE),"")</f>
        <v/>
      </c>
      <c r="CL28" s="169" t="str">
        <f>IF(CC28&lt;&gt;"",VLOOKUP(CC28,$B$4:$H$40,5,FALSE),"")</f>
        <v/>
      </c>
      <c r="CM28" s="169" t="str">
        <f>IF(CC28&lt;&gt;"",VLOOKUP(CC28,$B$4:$J$40,9,FALSE),"")</f>
        <v/>
      </c>
      <c r="CN28" s="169" t="str">
        <f>CJ28</f>
        <v/>
      </c>
      <c r="CO28" s="169" t="str">
        <f>IF(CC28&lt;&gt;"",RANK(CN28,$AF$25:$AF$29),"")</f>
        <v/>
      </c>
      <c r="CP28" s="169" t="str">
        <f>IF(CC28&lt;&gt;"",SUMPRODUCT((CN$25:CN$29=CN28)*(CI$25:CI$29&gt;CI28)),"")</f>
        <v/>
      </c>
      <c r="CQ28" s="169" t="str">
        <f>IF(CC28&lt;&gt;"",SUMPRODUCT((CN$25:CN$29=CN28)*(CI$25:CI$29=CI28)*(CG$25:CG$29&gt;CG28)),"")</f>
        <v/>
      </c>
      <c r="CR28" s="169" t="str">
        <f>IF(CC28&lt;&gt;"",SUMPRODUCT((CN$25:CN$29=CN28)*(CI$25:CI$29=CI28)*(CG$25:CG$29=CG28)*(CK$25:CK$29&gt;CK28)),"")</f>
        <v/>
      </c>
      <c r="CS28" s="169" t="str">
        <f>IF(CC28&lt;&gt;"",SUMPRODUCT((CN$25:CN$29=CN28)*(CI$25:CI$29=CI28)*(CG$25:CG$29=CG28)*(CK$25:CK$29=CK28)*(CL$25:CL$29&gt;CL28)),"")</f>
        <v/>
      </c>
      <c r="CT28" s="169" t="str">
        <f>IF(CC28&lt;&gt;"",SUMPRODUCT((CN$25:CN$29=CN28)*(CI$25:CI$29=CI28)*(CG$25:CG$29=CG28)*(CK$25:CK$29=CK28)*(CL$25:CL$29=CL28)*(CM$25:CM$29&gt;CM28)),"")</f>
        <v/>
      </c>
      <c r="CU28" s="169" t="str">
        <f>IF(CC28&lt;&gt;"",SUM(CO28:CT28)+3,"")</f>
        <v/>
      </c>
      <c r="CV28" s="169" t="str">
        <f>IF(CC28&lt;&gt;"",IF(CU28=4,CC28,CC29),"")</f>
        <v/>
      </c>
      <c r="CW28" s="169" t="str">
        <f>IF(CV28&lt;&gt;"",CV28,IF(CB28&lt;&gt;"",CB28,IF(BH28&lt;&gt;"",BH28,IF(AN28&lt;&gt;"",AN28,N28))))</f>
        <v>Tschechien</v>
      </c>
      <c r="CX28" s="169">
        <v>4</v>
      </c>
      <c r="CY28" s="169">
        <v>26</v>
      </c>
      <c r="CZ28" s="169" t="str">
        <f>Tournament!H38</f>
        <v>Schweiz</v>
      </c>
      <c r="DA28" s="169">
        <f>IF(AND(Tournament!J38&lt;&gt;"",Tournament!L38&lt;&gt;""),Tournament!J38,0)</f>
        <v>0</v>
      </c>
      <c r="DB28" s="169">
        <f>IF(DH28="D",IF(AND(Tournament!L38&lt;&gt;"",Tournament!J38&lt;&gt;""),Tournament!L38,0),2)</f>
        <v>0</v>
      </c>
      <c r="DC28" s="169" t="str">
        <f>Tournament!N38</f>
        <v>Frankreich</v>
      </c>
      <c r="DD28" s="169" t="str">
        <f>IF(AND(Tournament!J38&lt;&gt;"",Tournament!L38&lt;&gt;""),IF(DA28&gt;DB28,"W",IF(DA28=DB28,"D","L")),"")</f>
        <v>D</v>
      </c>
      <c r="DE28" s="169" t="str">
        <f t="shared" si="6"/>
        <v>D</v>
      </c>
      <c r="DH28" s="169" t="s">
        <v>20</v>
      </c>
    </row>
    <row r="29" spans="1:128" x14ac:dyDescent="0.2">
      <c r="CV29" s="169" t="str">
        <f>IF(CC28&lt;&gt;"",IF(CC28=CV28,CC29,CC28),"")</f>
        <v/>
      </c>
      <c r="CY29" s="169">
        <v>27</v>
      </c>
      <c r="CZ29" s="169" t="str">
        <f>Tournament!H39</f>
        <v>Russland</v>
      </c>
      <c r="DA29" s="169">
        <f>IF(AND(Tournament!J39&lt;&gt;"",Tournament!L39&lt;&gt;""),Tournament!J39,0)</f>
        <v>0</v>
      </c>
      <c r="DB29" s="169">
        <f>IF(AND(Tournament!L39&lt;&gt;"",Tournament!J39&lt;&gt;""),Tournament!L39,0)</f>
        <v>3</v>
      </c>
      <c r="DC29" s="169" t="str">
        <f>Tournament!N39</f>
        <v>Wales</v>
      </c>
      <c r="DD29" s="169" t="str">
        <f>IF(AND(Tournament!J39&lt;&gt;"",Tournament!L39&lt;&gt;""),IF(DA29&gt;DB29,"W",IF(DA29=DB29,"D","L")),"")</f>
        <v>L</v>
      </c>
      <c r="DE29" s="169" t="str">
        <f t="shared" si="6"/>
        <v>W</v>
      </c>
    </row>
    <row r="30" spans="1:128" x14ac:dyDescent="0.2">
      <c r="CC30" s="169" t="str">
        <f>IF(BN29&lt;&gt;"",BN29,"")</f>
        <v/>
      </c>
      <c r="CY30" s="169">
        <v>28</v>
      </c>
      <c r="CZ30" s="169" t="str">
        <f>Tournament!H40</f>
        <v>Slowakei</v>
      </c>
      <c r="DA30" s="169">
        <f>IF(AND(Tournament!J40&lt;&gt;"",Tournament!L40&lt;&gt;""),Tournament!J40,0)</f>
        <v>0</v>
      </c>
      <c r="DB30" s="169">
        <f>IF(AND(Tournament!L40&lt;&gt;"",Tournament!J40&lt;&gt;""),Tournament!L40,0)</f>
        <v>0</v>
      </c>
      <c r="DC30" s="169" t="str">
        <f>Tournament!N40</f>
        <v>England</v>
      </c>
      <c r="DD30" s="169" t="str">
        <f>IF(AND(Tournament!J40&lt;&gt;"",Tournament!L40&lt;&gt;""),IF(DA30&gt;DB30,"W",IF(DA30=DB30,"D","L")),"")</f>
        <v>D</v>
      </c>
      <c r="DE30" s="169" t="str">
        <f t="shared" si="6"/>
        <v>D</v>
      </c>
    </row>
    <row r="31" spans="1:128" x14ac:dyDescent="0.2">
      <c r="A31" s="169">
        <f>VLOOKUP(B31,$CW$31:$CX$35,2,FALSE)</f>
        <v>2</v>
      </c>
      <c r="B31" s="169" t="str">
        <f>'Countries and Timezone'!C23</f>
        <v>Belgien</v>
      </c>
      <c r="C31" s="169">
        <f>SUMPRODUCT(($CZ$3:$CZ$42=$B31)*($DD$3:$DD$42="W"))+SUMPRODUCT(($DC$3:$DC$42=$B31)*($DE$3:$DE$42="W"))</f>
        <v>2</v>
      </c>
      <c r="D31" s="169">
        <f>SUMPRODUCT(($CZ$3:$CZ$42=$B31)*($DD$3:$DD$42="D"))+SUMPRODUCT(($DC$3:$DC$42=$B31)*($DE$3:$DE$42="D"))</f>
        <v>0</v>
      </c>
      <c r="E31" s="169">
        <f>SUMPRODUCT(($CZ$3:$CZ$42=$B31)*($DD$3:$DD$42="L"))+SUMPRODUCT(($DC$3:$DC$42=$B31)*($DE$3:$DE$42="L"))</f>
        <v>1</v>
      </c>
      <c r="F31" s="169">
        <f>SUMIF($CZ$3:$CZ$60,B31,$DA$3:$DA$60)+SUMIF($DC$3:$DC$60,B31,$DB$3:$DB$60)</f>
        <v>4</v>
      </c>
      <c r="G31" s="169">
        <f>SUMIF($DC$3:$DC$60,B31,$DA$3:$DA$60)+SUMIF($CZ$3:$CZ$60,B31,$DB$3:$DB$60)</f>
        <v>2</v>
      </c>
      <c r="H31" s="169">
        <f>F31-G31+1000</f>
        <v>1002</v>
      </c>
      <c r="I31" s="169">
        <f>C31*3+D31*1</f>
        <v>6</v>
      </c>
      <c r="J31" s="169">
        <v>100</v>
      </c>
      <c r="K31" s="169">
        <f>RANK(I31,I$31:I$35)</f>
        <v>1</v>
      </c>
      <c r="M31" s="169">
        <f>RANK(I31,$I$31:$I$35)+COUNTIF($I$31:I31,I31)-1</f>
        <v>1</v>
      </c>
      <c r="N31" s="169" t="str">
        <f>INDEX($B$31:$B$35,MATCH(1,$M$31:$M$35,0),0)</f>
        <v>Belgien</v>
      </c>
      <c r="O31" s="169">
        <f>INDEX($K$31:$K$35,MATCH(N31,$B$31:$B$35,0),0)</f>
        <v>1</v>
      </c>
      <c r="P31" s="169" t="str">
        <f>IF(O32=1,N31,"")</f>
        <v>Belgien</v>
      </c>
      <c r="Q31" s="169" t="str">
        <f>IF(O33=2,N32,"")</f>
        <v/>
      </c>
      <c r="R31" s="169" t="str">
        <f>IF(O34=3,N33,"")</f>
        <v/>
      </c>
      <c r="S31" s="169" t="str">
        <f>IF(O35=4,N34,"")</f>
        <v/>
      </c>
      <c r="U31" s="169" t="str">
        <f>IF(P31&lt;&gt;"",P31,"")</f>
        <v>Belgien</v>
      </c>
      <c r="V31" s="169">
        <f>SUMPRODUCT(($CZ$3:$CZ$42=$U31)*($DC$3:$DC$42=$U32)*($DD$3:$DD$42="W"))+SUMPRODUCT(($CZ$3:$CZ$42=$U31)*($DC$3:$DC$42=$U33)*($DD$3:$DD$42="W"))+SUMPRODUCT(($CZ$3:$CZ$42=$U31)*($DC$3:$DC$42=$U34)*($DD$3:$DD$42="W"))+SUMPRODUCT(($CZ$3:$CZ$42=$U31)*($DC$3:$DC$42=$U35)*($DD$3:$DD$42="W"))+SUMPRODUCT(($CZ$3:$CZ$42=$U32)*($DC$3:$DC$42=$U31)*($DE$3:$DE$42="W"))+SUMPRODUCT(($CZ$3:$CZ$42=$U33)*($DC$3:$DC$42=$U31)*($DE$3:$DE$42="W"))+SUMPRODUCT(($CZ$3:$CZ$42=$U34)*($DC$3:$DC$42=$U31)*($DE$3:$DE$42="W"))+SUMPRODUCT(($CZ$3:$CZ$42=$U35)*($DC$3:$DC$42=$U31)*($DE$3:$DE$42="W"))</f>
        <v>0</v>
      </c>
      <c r="W31" s="169">
        <f>SUMPRODUCT(($CZ$3:$CZ$42=$U31)*($DC$3:$DC$42=$U32)*($DD$3:$DD$42="D"))+SUMPRODUCT(($CZ$3:$CZ$42=$U31)*($DC$3:$DC$42=$U33)*($DD$3:$DD$42="D"))+SUMPRODUCT(($CZ$3:$CZ$42=$U31)*($DC$3:$DC$42=$U34)*($DD$3:$DD$42="D"))+SUMPRODUCT(($CZ$3:$CZ$42=$U31)*($DC$3:$DC$42=$U35)*($DD$3:$DD$42="D"))+SUMPRODUCT(($CZ$3:$CZ$42=$U32)*($DC$3:$DC$42=$U31)*($DD$3:$DD$42="D"))+SUMPRODUCT(($CZ$3:$CZ$42=$U33)*($DC$3:$DC$42=$U31)*($DD$3:$DD$42="D"))+SUMPRODUCT(($CZ$3:$CZ$42=$U34)*($DC$3:$DC$42=$U31)*($DD$3:$DD$42="D"))+SUMPRODUCT(($CZ$3:$CZ$42=$U35)*($DC$3:$DC$42=$U31)*($DD$3:$DD$42="D"))</f>
        <v>0</v>
      </c>
      <c r="X31" s="169">
        <f>SUMPRODUCT(($CZ$3:$CZ$42=$U31)*($DC$3:$DC$42=$U32)*($DD$3:$DD$42="L"))+SUMPRODUCT(($CZ$3:$CZ$42=$U31)*($DC$3:$DC$42=$U33)*($DD$3:$DD$42="L"))+SUMPRODUCT(($CZ$3:$CZ$42=$U31)*($DC$3:$DC$42=$U34)*($DD$3:$DD$42="L"))+SUMPRODUCT(($CZ$3:$CZ$42=$U31)*($DC$3:$DC$42=$U35)*($DD$3:$DD$42="L"))+SUMPRODUCT(($CZ$3:$CZ$42=$U32)*($DC$3:$DC$42=$U31)*($DE$3:$DE$42="L"))+SUMPRODUCT(($CZ$3:$CZ$42=$U33)*($DC$3:$DC$42=$U31)*($DE$3:$DE$42="L"))+SUMPRODUCT(($CZ$3:$CZ$42=$U34)*($DC$3:$DC$42=$U31)*($DE$3:$DE$42="L"))+SUMPRODUCT(($CZ$3:$CZ$42=$U35)*($DC$3:$DC$42=$U31)*($DE$3:$DE$42="L"))</f>
        <v>1</v>
      </c>
      <c r="Y31" s="169">
        <f>SUMPRODUCT(($CZ$3:$CZ$42=$U31)*($DC$3:$DC$42=$U32)*$DA$3:$DA$42)+SUMPRODUCT(($CZ$3:$CZ$42=$U31)*($DC$3:$DC$42=$U33)*$DA$3:$DA$42)+SUMPRODUCT(($CZ$3:$CZ$42=$U31)*($DC$3:$DC$42=$U34)*$DA$3:$DA$42)+SUMPRODUCT(($CZ$3:$CZ$42=$U31)*($DC$3:$DC$42=$U35)*$DA$3:$DA$42)+SUMPRODUCT(($CZ$3:$CZ$42=$U32)*($DC$3:$DC$42=$U31)*$DB$3:$DB$42)+SUMPRODUCT(($CZ$3:$CZ$42=$U33)*($DC$3:$DC$42=$U31)*$DB$3:$DB$42)+SUMPRODUCT(($CZ$3:$CZ$42=$U34)*($DC$3:$DC$42=$U31)*$DB$3:$DB$42)+SUMPRODUCT(($CZ$3:$CZ$42=$U35)*($DC$3:$DC$42=$U31)*$DB$3:$DB$42)</f>
        <v>0</v>
      </c>
      <c r="Z31" s="169">
        <f>SUMPRODUCT(($CZ$3:$CZ$42=$U31)*($DC$3:$DC$42=$U32)*$DB$3:$DB$42)+SUMPRODUCT(($CZ$3:$CZ$42=$U31)*($DC$3:$DC$42=$U33)*$DB$3:$DB$42)+SUMPRODUCT(($CZ$3:$CZ$42=$U31)*($DC$3:$DC$42=$U34)*$DB$3:$DB$42)+SUMPRODUCT(($CZ$3:$CZ$42=$U31)*($DC$3:$DC$42=$U35)*$DB$3:$DB$42)+SUMPRODUCT(($CZ$3:$CZ$42=$U32)*($DC$3:$DC$42=$U31)*$DA$3:$DA$42)+SUMPRODUCT(($CZ$3:$CZ$42=$U33)*($DC$3:$DC$42=$U31)*$DA$3:$DA$42)+SUMPRODUCT(($CZ$3:$CZ$42=$U34)*($DC$3:$DC$42=$U31)*$DA$3:$DA$42)+SUMPRODUCT(($CZ$3:$CZ$42=$U35)*($DC$3:$DC$42=$U31)*$DA$3:$DA$42)</f>
        <v>2</v>
      </c>
      <c r="AA31" s="169">
        <f>Y31-Z31+1000</f>
        <v>998</v>
      </c>
      <c r="AB31" s="169">
        <f>IF(U31&lt;&gt;"",V31*3+W31*1,"")</f>
        <v>0</v>
      </c>
      <c r="AC31" s="169">
        <f>IF(U31&lt;&gt;"",VLOOKUP(U31,$B$4:$H$40,7,FALSE),"")</f>
        <v>1002</v>
      </c>
      <c r="AD31" s="169">
        <f>IF(U31&lt;&gt;"",VLOOKUP(U31,$B$4:$H$40,5,FALSE),"")</f>
        <v>4</v>
      </c>
      <c r="AE31" s="169">
        <f>IF(U31&lt;&gt;"",VLOOKUP(U31,$B$4:$J$40,9,FALSE),"")</f>
        <v>100</v>
      </c>
      <c r="AF31" s="169">
        <f>AB31</f>
        <v>0</v>
      </c>
      <c r="AG31" s="169">
        <f>IF(U31&lt;&gt;"",RANK(AF31,$AF$31:$AF$35),"")</f>
        <v>2</v>
      </c>
      <c r="AH31" s="169">
        <f>IF(U31&lt;&gt;"",SUMPRODUCT((AF$31:AF$35=AF31)*(AA$31:AA$35&gt;AA31)),"")</f>
        <v>0</v>
      </c>
      <c r="AI31" s="169">
        <f>IF(U31&lt;&gt;"",SUMPRODUCT((AF$31:AF$35=AF31)*(AA$31:AA$35=AA31)*(Y$31:Y$35&gt;Y31)),"")</f>
        <v>0</v>
      </c>
      <c r="AJ31" s="169">
        <f>IF(U31&lt;&gt;"",SUMPRODUCT((AF$31:AF$35=AF31)*(AA$31:AA$35=AA31)*(Y$31:Y$35=Y31)*(AC$31:AC$35&gt;AC31)),"")</f>
        <v>0</v>
      </c>
      <c r="AK31" s="169">
        <f>IF(U31&lt;&gt;"",SUMPRODUCT((AF$31:AF$35=AF31)*(AA$31:AA$35=AA31)*(Y$31:Y$35=Y31)*(AC$31:AC$35=AC31)*(AD$31:AD$35&gt;AD31)),"")</f>
        <v>0</v>
      </c>
      <c r="AL31" s="169">
        <f>IF(U31&lt;&gt;"",SUMPRODUCT((AF$31:AF$35=AF31)*(AA$31:AA$35=AA31)*(Y$31:Y$35=Y31)*(AC$31:AC$35=AC31)*(AD$31:AD$35=AD31)*(AE$31:AE$35&gt;AE31)),"")</f>
        <v>0</v>
      </c>
      <c r="AM31" s="169">
        <f>IF(U31&lt;&gt;"",SUM(AG31:AL31),"")</f>
        <v>2</v>
      </c>
      <c r="AN31" s="169" t="str">
        <f>IF(U31&lt;&gt;"",INDEX($U$31:$U$35,MATCH(1,$AM$31:$AM$35,0),0),"")</f>
        <v>Italien</v>
      </c>
      <c r="CW31" s="169" t="str">
        <f>IF(AN31&lt;&gt;"",AN31,N31)</f>
        <v>Italien</v>
      </c>
      <c r="CX31" s="169">
        <v>1</v>
      </c>
      <c r="CY31" s="169">
        <v>29</v>
      </c>
      <c r="CZ31" s="169" t="str">
        <f>Tournament!H41</f>
        <v>Ukraine</v>
      </c>
      <c r="DA31" s="169">
        <f>IF(AND(Tournament!J41&lt;&gt;"",Tournament!L41&lt;&gt;""),Tournament!J41,0)</f>
        <v>0</v>
      </c>
      <c r="DB31" s="169">
        <f>IF(AND(Tournament!L41&lt;&gt;"",Tournament!J41&lt;&gt;""),Tournament!L41,0)</f>
        <v>1</v>
      </c>
      <c r="DC31" s="169" t="str">
        <f>Tournament!N41</f>
        <v>Polen</v>
      </c>
      <c r="DD31" s="169" t="str">
        <f>IF(AND(Tournament!J41&lt;&gt;"",Tournament!L41&lt;&gt;""),IF(DA31&gt;DB31,"W",IF(DA31=DB31,"D","L")),"")</f>
        <v>L</v>
      </c>
      <c r="DE31" s="169" t="str">
        <f t="shared" si="6"/>
        <v>W</v>
      </c>
    </row>
    <row r="32" spans="1:128" x14ac:dyDescent="0.2">
      <c r="A32" s="169">
        <f>VLOOKUP(B32,$CW$31:$CX$35,2,FALSE)</f>
        <v>1</v>
      </c>
      <c r="B32" s="169" t="str">
        <f>'Countries and Timezone'!C24</f>
        <v>Italien</v>
      </c>
      <c r="C32" s="169">
        <f>SUMPRODUCT(($CZ$3:$CZ$42=$B32)*($DD$3:$DD$42="W"))+SUMPRODUCT(($DC$3:$DC$42=$B32)*($DE$3:$DE$42="W"))</f>
        <v>2</v>
      </c>
      <c r="D32" s="169">
        <f>SUMPRODUCT(($CZ$3:$CZ$42=$B32)*($DD$3:$DD$42="D"))+SUMPRODUCT(($DC$3:$DC$42=$B32)*($DE$3:$DE$42="D"))</f>
        <v>0</v>
      </c>
      <c r="E32" s="169">
        <f>SUMPRODUCT(($CZ$3:$CZ$42=$B32)*($DD$3:$DD$42="L"))+SUMPRODUCT(($DC$3:$DC$42=$B32)*($DE$3:$DE$42="L"))</f>
        <v>1</v>
      </c>
      <c r="F32" s="169">
        <f>SUMIF($CZ$3:$CZ$60,B32,$DA$3:$DA$60)+SUMIF($DC$3:$DC$60,B32,$DB$3:$DB$60)</f>
        <v>3</v>
      </c>
      <c r="G32" s="169">
        <f>SUMIF($DC$3:$DC$60,B32,$DA$3:$DA$60)+SUMIF($CZ$3:$CZ$60,B32,$DB$3:$DB$60)</f>
        <v>1</v>
      </c>
      <c r="H32" s="169">
        <f>F32-G32+1000</f>
        <v>1002</v>
      </c>
      <c r="I32" s="169">
        <f>C32*3+D32*1</f>
        <v>6</v>
      </c>
      <c r="J32" s="169">
        <v>101</v>
      </c>
      <c r="K32" s="169">
        <f>RANK(I32,I$31:I$35)</f>
        <v>1</v>
      </c>
      <c r="M32" s="169">
        <f>RANK(I32,$I$31:$I$35)+COUNTIF($I$31:I32,I32)-1</f>
        <v>2</v>
      </c>
      <c r="N32" s="169" t="str">
        <f>INDEX($B$31:$B$35,MATCH(2,$M$31:$M$35,0),0)</f>
        <v>Italien</v>
      </c>
      <c r="O32" s="169">
        <f>INDEX($K$31:$K$35,MATCH(N32,$B$31:$B$35,0),0)</f>
        <v>1</v>
      </c>
      <c r="P32" s="169" t="str">
        <f>IF(P31&lt;&gt;"",N32,"")</f>
        <v>Italien</v>
      </c>
      <c r="Q32" s="169" t="str">
        <f>IF(Q31&lt;&gt;"",N33,"")</f>
        <v/>
      </c>
      <c r="R32" s="169" t="str">
        <f>IF(R31&lt;&gt;"",N34,"")</f>
        <v/>
      </c>
      <c r="S32" s="169" t="str">
        <f>IF(S31&lt;&gt;"",N35,"")</f>
        <v/>
      </c>
      <c r="U32" s="169" t="str">
        <f>IF(P32&lt;&gt;"",P32,"")</f>
        <v>Italien</v>
      </c>
      <c r="V32" s="169">
        <f>SUMPRODUCT(($CZ$3:$CZ$42=$U32)*($DC$3:$DC$42=$U33)*($DD$3:$DD$42="W"))+SUMPRODUCT(($CZ$3:$CZ$42=$U32)*($DC$3:$DC$42=$U34)*($DD$3:$DD$42="W"))+SUMPRODUCT(($CZ$3:$CZ$42=$U32)*($DC$3:$DC$42=$U35)*($DD$3:$DD$42="W"))+SUMPRODUCT(($CZ$3:$CZ$42=$U32)*($DC$3:$DC$42=$U31)*($DD$3:$DD$42="W"))+SUMPRODUCT(($CZ$3:$CZ$42=$U33)*($DC$3:$DC$42=$U32)*($DE$3:$DE$42="W"))+SUMPRODUCT(($CZ$3:$CZ$42=$U34)*($DC$3:$DC$42=$U32)*($DE$3:$DE$42="W"))+SUMPRODUCT(($CZ$3:$CZ$42=$U35)*($DC$3:$DC$42=$U32)*($DE$3:$DE$42="W"))+SUMPRODUCT(($CZ$3:$CZ$42=$U31)*($DC$3:$DC$42=$U32)*($DE$3:$DE$42="W"))</f>
        <v>1</v>
      </c>
      <c r="W32" s="169">
        <f>SUMPRODUCT(($CZ$3:$CZ$42=$U32)*($DC$3:$DC$42=$U33)*($DD$3:$DD$42="D"))+SUMPRODUCT(($CZ$3:$CZ$42=$U32)*($DC$3:$DC$42=$U34)*($DD$3:$DD$42="D"))+SUMPRODUCT(($CZ$3:$CZ$42=$U32)*($DC$3:$DC$42=$U35)*($DD$3:$DD$42="D"))+SUMPRODUCT(($CZ$3:$CZ$42=$U32)*($DC$3:$DC$42=$U31)*($DD$3:$DD$42="D"))+SUMPRODUCT(($CZ$3:$CZ$42=$U33)*($DC$3:$DC$42=$U32)*($DD$3:$DD$42="D"))+SUMPRODUCT(($CZ$3:$CZ$42=$U34)*($DC$3:$DC$42=$U32)*($DD$3:$DD$42="D"))+SUMPRODUCT(($CZ$3:$CZ$42=$U35)*($DC$3:$DC$42=$U32)*($DD$3:$DD$42="D"))+SUMPRODUCT(($CZ$3:$CZ$42=$U31)*($DC$3:$DC$42=$U32)*($DD$3:$DD$42="D"))</f>
        <v>0</v>
      </c>
      <c r="X32" s="169">
        <f>SUMPRODUCT(($CZ$3:$CZ$42=$U32)*($DC$3:$DC$42=$U33)*($DD$3:$DD$42="L"))+SUMPRODUCT(($CZ$3:$CZ$42=$U32)*($DC$3:$DC$42=$U34)*($DD$3:$DD$42="L"))+SUMPRODUCT(($CZ$3:$CZ$42=$U32)*($DC$3:$DC$42=$U35)*($DD$3:$DD$42="L"))+SUMPRODUCT(($CZ$3:$CZ$42=$U32)*($DC$3:$DC$42=$U31)*($DD$3:$DD$42="L"))+SUMPRODUCT(($CZ$3:$CZ$42=$U33)*($DC$3:$DC$42=$U32)*($DE$3:$DE$42="L"))+SUMPRODUCT(($CZ$3:$CZ$42=$U34)*($DC$3:$DC$42=$U32)*($DE$3:$DE$42="L"))+SUMPRODUCT(($CZ$3:$CZ$42=$U35)*($DC$3:$DC$42=$U32)*($DE$3:$DE$42="L"))+SUMPRODUCT(($CZ$3:$CZ$42=$U31)*($DC$3:$DC$42=$U32)*($DE$3:$DE$42="L"))</f>
        <v>0</v>
      </c>
      <c r="Y32" s="169">
        <f>SUMPRODUCT(($CZ$3:$CZ$42=$U32)*($DC$3:$DC$42=$U33)*$DA$3:$DA$42)+SUMPRODUCT(($CZ$3:$CZ$42=$U32)*($DC$3:$DC$42=$U34)*$DA$3:$DA$42)+SUMPRODUCT(($CZ$3:$CZ$42=$U32)*($DC$3:$DC$42=$U35)*$DA$3:$DA$42)+SUMPRODUCT(($CZ$3:$CZ$42=$U32)*($DC$3:$DC$42=$U31)*$DA$3:$DA$42)+SUMPRODUCT(($CZ$3:$CZ$42=$U33)*($DC$3:$DC$42=$U32)*$DB$3:$DB$42)+SUMPRODUCT(($CZ$3:$CZ$42=$U34)*($DC$3:$DC$42=$U32)*$DB$3:$DB$42)+SUMPRODUCT(($CZ$3:$CZ$42=$U35)*($DC$3:$DC$42=$U32)*$DB$3:$DB$42)+SUMPRODUCT(($CZ$3:$CZ$42=$U31)*($DC$3:$DC$42=$U32)*$DB$3:$DB$42)</f>
        <v>2</v>
      </c>
      <c r="Z32" s="169">
        <f>SUMPRODUCT(($CZ$3:$CZ$42=$U32)*($DC$3:$DC$42=$U33)*$DB$3:$DB$42)+SUMPRODUCT(($CZ$3:$CZ$42=$U32)*($DC$3:$DC$42=$U34)*$DB$3:$DB$42)+SUMPRODUCT(($CZ$3:$CZ$42=$U32)*($DC$3:$DC$42=$U35)*$DB$3:$DB$42)+SUMPRODUCT(($CZ$3:$CZ$42=$U32)*($DC$3:$DC$42=$U31)*$DB$3:$DB$42)+SUMPRODUCT(($CZ$3:$CZ$42=$U33)*($DC$3:$DC$42=$U32)*$DA$3:$DA$42)+SUMPRODUCT(($CZ$3:$CZ$42=$U34)*($DC$3:$DC$42=$U32)*$DA$3:$DA$42)+SUMPRODUCT(($CZ$3:$CZ$42=$U35)*($DC$3:$DC$42=$U32)*$DA$3:$DA$42)+SUMPRODUCT(($CZ$3:$CZ$42=$U31)*($DC$3:$DC$42=$U32)*$DA$3:$DA$42)</f>
        <v>0</v>
      </c>
      <c r="AA32" s="169">
        <f>Y32-Z32+1000</f>
        <v>1002</v>
      </c>
      <c r="AB32" s="169">
        <f>IF(U32&lt;&gt;"",V32*3+W32*1,"")</f>
        <v>3</v>
      </c>
      <c r="AC32" s="169">
        <f>IF(U32&lt;&gt;"",VLOOKUP(U32,$B$4:$H$40,7,FALSE),"")</f>
        <v>1002</v>
      </c>
      <c r="AD32" s="169">
        <f>IF(U32&lt;&gt;"",VLOOKUP(U32,$B$4:$H$40,5,FALSE),"")</f>
        <v>3</v>
      </c>
      <c r="AE32" s="169">
        <f>IF(U32&lt;&gt;"",VLOOKUP(U32,$B$4:$J$40,9,FALSE),"")</f>
        <v>101</v>
      </c>
      <c r="AF32" s="169">
        <f>AB32</f>
        <v>3</v>
      </c>
      <c r="AG32" s="169">
        <f>IF(U32&lt;&gt;"",RANK(AF32,$AF$31:$AF$35),"")</f>
        <v>1</v>
      </c>
      <c r="AH32" s="169">
        <f>IF(U32&lt;&gt;"",SUMPRODUCT((AF$31:AF$35=AF32)*(AA$31:AA$35&gt;AA32)),"")</f>
        <v>0</v>
      </c>
      <c r="AI32" s="169">
        <f>IF(U32&lt;&gt;"",SUMPRODUCT((AF$31:AF$35=AF32)*(AA$31:AA$35=AA32)*(Y$31:Y$35&gt;Y32)),"")</f>
        <v>0</v>
      </c>
      <c r="AJ32" s="169">
        <f>IF(U32&lt;&gt;"",SUMPRODUCT((AF$31:AF$35=AF32)*(AA$31:AA$35=AA32)*(Y$31:Y$35=Y32)*(AC$31:AC$35&gt;AC32)),"")</f>
        <v>0</v>
      </c>
      <c r="AK32" s="169">
        <f>IF(U32&lt;&gt;"",SUMPRODUCT((AF$31:AF$35=AF32)*(AA$31:AA$35=AA32)*(Y$31:Y$35=Y32)*(AC$31:AC$35=AC32)*(AD$31:AD$35&gt;AD32)),"")</f>
        <v>0</v>
      </c>
      <c r="AL32" s="169">
        <f>IF(U32&lt;&gt;"",SUMPRODUCT((AF$31:AF$35=AF32)*(AA$31:AA$35=AA32)*(Y$31:Y$35=Y32)*(AC$31:AC$35=AC32)*(AD$31:AD$35=AD32)*(AE$31:AE$35&gt;AE32)),"")</f>
        <v>0</v>
      </c>
      <c r="AM32" s="169">
        <f>IF(U32&lt;&gt;"",SUM(AG32:AL32),"")</f>
        <v>1</v>
      </c>
      <c r="AN32" s="169" t="str">
        <f>IF(U32&lt;&gt;"",INDEX($U$31:$U$35,MATCH(2,$AM$31:$AM$35,0),0),"")</f>
        <v>Belgien</v>
      </c>
      <c r="AO32" s="169" t="str">
        <f>IF(Q31&lt;&gt;"",Q31,"")</f>
        <v/>
      </c>
      <c r="AP32" s="169">
        <f>SUMPRODUCT(($CZ$3:$CZ$42=$AO32)*($DC$3:$DC$42=$AO33)*($DD$3:$DD$42="W"))+SUMPRODUCT(($CZ$3:$CZ$42=$AO32)*($DC$3:$DC$42=$AO34)*($DD$3:$DD$42="W"))+SUMPRODUCT(($CZ$3:$CZ$42=$AO32)*($DC$3:$DC$42=$AO35)*($DD$3:$DD$42="W"))+SUMPRODUCT(($CZ$3:$CZ$42=$AO33)*($DC$3:$DC$42=$AO32)*($DE$3:$DE$42="W"))+SUMPRODUCT(($CZ$3:$CZ$42=$AO34)*($DC$3:$DC$42=$AO32)*($DE$3:$DE$42="W"))+SUMPRODUCT(($CZ$3:$CZ$42=$AO35)*($DC$3:$DC$42=$AO32)*($DE$3:$DE$42="W"))</f>
        <v>0</v>
      </c>
      <c r="AQ32" s="169">
        <f>SUMPRODUCT(($CZ$3:$CZ$42=$AO32)*($DC$3:$DC$42=$AO33)*($DD$3:$DD$42="D"))+SUMPRODUCT(($CZ$3:$CZ$42=$AO32)*($DC$3:$DC$42=$AO34)*($DD$3:$DD$42="D"))+SUMPRODUCT(($CZ$3:$CZ$42=$AO32)*($DC$3:$DC$42=$AO35)*($DD$3:$DD$42="D"))+SUMPRODUCT(($CZ$3:$CZ$42=$AO33)*($DC$3:$DC$42=$AO32)*($DD$3:$DD$42="D"))+SUMPRODUCT(($CZ$3:$CZ$42=$AO34)*($DC$3:$DC$42=$AO32)*($DD$3:$DD$42="D"))+SUMPRODUCT(($CZ$3:$CZ$42=$AO35)*($DC$3:$DC$42=$AO32)*($DD$3:$DD$42="D"))</f>
        <v>0</v>
      </c>
      <c r="AR32" s="169">
        <f>SUMPRODUCT(($CZ$3:$CZ$42=$AO32)*($DC$3:$DC$42=$AO33)*($DD$3:$DD$42="L"))+SUMPRODUCT(($CZ$3:$CZ$42=$AO32)*($DC$3:$DC$42=$AO34)*($DD$3:$DD$42="L"))+SUMPRODUCT(($CZ$3:$CZ$42=$AO32)*($DC$3:$DC$42=$AO35)*($DD$3:$DD$42="L"))+SUMPRODUCT(($CZ$3:$CZ$42=$AO33)*($DC$3:$DC$42=$AO32)*($DE$3:$DE$42="L"))+SUMPRODUCT(($CZ$3:$CZ$42=$AO34)*($DC$3:$DC$42=$AO32)*($DE$3:$DE$42="L"))+SUMPRODUCT(($CZ$3:$CZ$42=$AO35)*($DC$3:$DC$42=$AO32)*($DE$3:$DE$42="L"))</f>
        <v>0</v>
      </c>
      <c r="AS32" s="169">
        <f>SUMPRODUCT(($CZ$3:$CZ$42=$AO32)*($DC$3:$DC$42=$AO33)*$DA$3:$DA$42)+SUMPRODUCT(($CZ$3:$CZ$42=$AO32)*($DC$3:$DC$42=$AO34)*$DA$3:$DA$42)+SUMPRODUCT(($CZ$3:$CZ$42=$AO32)*($DC$3:$DC$42=$AO35)*$DA$3:$DA$42)+SUMPRODUCT(($CZ$3:$CZ$42=$AO32)*($DC$3:$DC$42=$AO31)*$DA$3:$DA$42)+SUMPRODUCT(($CZ$3:$CZ$42=$AO33)*($DC$3:$DC$42=$AO32)*$DB$3:$DB$42)+SUMPRODUCT(($CZ$3:$CZ$42=$AO34)*($DC$3:$DC$42=$AO32)*$DB$3:$DB$42)+SUMPRODUCT(($CZ$3:$CZ$42=$AO35)*($DC$3:$DC$42=$AO32)*$DB$3:$DB$42)+SUMPRODUCT(($CZ$3:$CZ$42=$AO31)*($DC$3:$DC$42=$AO32)*$DB$3:$DB$42)</f>
        <v>0</v>
      </c>
      <c r="AT32" s="169">
        <f>SUMPRODUCT(($CZ$3:$CZ$42=$AO32)*($DC$3:$DC$42=$AO33)*$DB$3:$DB$42)+SUMPRODUCT(($CZ$3:$CZ$42=$AO32)*($DC$3:$DC$42=$AO34)*$DB$3:$DB$42)+SUMPRODUCT(($CZ$3:$CZ$42=$AO32)*($DC$3:$DC$42=$AO35)*$DB$3:$DB$42)+SUMPRODUCT(($CZ$3:$CZ$42=$AO32)*($DC$3:$DC$42=$AO31)*$DB$3:$DB$42)+SUMPRODUCT(($CZ$3:$CZ$42=$AO33)*($DC$3:$DC$42=$AO32)*$DA$3:$DA$42)+SUMPRODUCT(($CZ$3:$CZ$42=$AO34)*($DC$3:$DC$42=$AO32)*$DA$3:$DA$42)+SUMPRODUCT(($CZ$3:$CZ$42=$AO35)*($DC$3:$DC$42=$AO32)*$DA$3:$DA$42)+SUMPRODUCT(($CZ$3:$CZ$42=$AO31)*($DC$3:$DC$42=$AO32)*$DA$3:$DA$42)</f>
        <v>0</v>
      </c>
      <c r="AU32" s="169">
        <f>AS32-AT32+1000</f>
        <v>1000</v>
      </c>
      <c r="AV32" s="169" t="str">
        <f>IF(AO32&lt;&gt;"",AP32*3+AQ32*1,"")</f>
        <v/>
      </c>
      <c r="AW32" s="169" t="str">
        <f>IF(AO32&lt;&gt;"",VLOOKUP(AO32,$B$4:$H$40,7,FALSE),"")</f>
        <v/>
      </c>
      <c r="AX32" s="169" t="str">
        <f>IF(AO32&lt;&gt;"",VLOOKUP(AO32,$B$4:$H$40,5,FALSE),"")</f>
        <v/>
      </c>
      <c r="AY32" s="169" t="str">
        <f>IF(AO32&lt;&gt;"",VLOOKUP(AO32,$B$4:$J$40,9,FALSE),"")</f>
        <v/>
      </c>
      <c r="AZ32" s="169" t="str">
        <f>AV32</f>
        <v/>
      </c>
      <c r="BA32" s="169" t="str">
        <f>IF(AO32&lt;&gt;"",RANK(AZ32,AZ$31:AZ$35),"")</f>
        <v/>
      </c>
      <c r="BB32" s="169" t="str">
        <f>IF(AO32&lt;&gt;"",SUMPRODUCT((AZ$31:AZ$35=AZ32)*(AU$31:AU$35&gt;AU32)),"")</f>
        <v/>
      </c>
      <c r="BC32" s="169" t="str">
        <f>IF(AO32&lt;&gt;"",SUMPRODUCT((AZ$31:AZ$35=AZ32)*(AU$31:AU$35=AU32)*(AS$31:AS$35&gt;AS32)),"")</f>
        <v/>
      </c>
      <c r="BD32" s="169" t="str">
        <f>IF(AO32&lt;&gt;"",SUMPRODUCT((AZ$31:AZ$35=AZ32)*(AU$31:AU$35=AU32)*(AS$31:AS$35=AS32)*(AW$31:AW$35&gt;AW32)),"")</f>
        <v/>
      </c>
      <c r="BE32" s="169" t="str">
        <f>IF(AO32&lt;&gt;"",SUMPRODUCT((AZ$31:AZ$35=AZ32)*(AU$31:AU$35=AU32)*(AS$31:AS$35=AS32)*(AW$31:AW$35=AW32)*(AX$31:AX$35&gt;AX32)),"")</f>
        <v/>
      </c>
      <c r="BF32" s="169" t="str">
        <f>IF(AO32&lt;&gt;"",SUMPRODUCT((AZ$31:AZ$35=AZ32)*(AU$31:AU$35=AU32)*(AS$31:AS$35=AS32)*(AW$31:AW$35=AW32)*(AX$31:AX$35=AX32)*(AY$31:AY$35&gt;AY32)),"")</f>
        <v/>
      </c>
      <c r="BG32" s="169" t="str">
        <f>IF(AO32&lt;&gt;"",SUM(BA32:BF32)+1,"")</f>
        <v/>
      </c>
      <c r="BH32" s="169" t="str">
        <f>IF(AO32&lt;&gt;"",INDEX(AO32:AO35,MATCH(2,BG32:BG35,0),0),"")</f>
        <v/>
      </c>
      <c r="CW32" s="169" t="str">
        <f>IF(BH32&lt;&gt;"",BH32,IF(AN32&lt;&gt;"",AN32,N32))</f>
        <v>Belgien</v>
      </c>
      <c r="CX32" s="169">
        <v>2</v>
      </c>
      <c r="CY32" s="169">
        <v>30</v>
      </c>
      <c r="CZ32" s="169" t="str">
        <f>Tournament!H42</f>
        <v>Nordirland</v>
      </c>
      <c r="DA32" s="169">
        <f>IF(AND(Tournament!J42&lt;&gt;"",Tournament!L42&lt;&gt;""),Tournament!J42,0)</f>
        <v>0</v>
      </c>
      <c r="DB32" s="169">
        <f>IF(AND(Tournament!L42&lt;&gt;"",Tournament!J42&lt;&gt;""),Tournament!L42,0)</f>
        <v>1</v>
      </c>
      <c r="DC32" s="169" t="str">
        <f>Tournament!N42</f>
        <v>Deutschland</v>
      </c>
      <c r="DD32" s="169" t="str">
        <f>IF(AND(Tournament!J42&lt;&gt;"",Tournament!L42&lt;&gt;""),IF(DA32&gt;DB32,"W",IF(DA32=DB32,"D","L")),"")</f>
        <v>L</v>
      </c>
      <c r="DE32" s="169" t="str">
        <f t="shared" si="6"/>
        <v>W</v>
      </c>
    </row>
    <row r="33" spans="1:109" x14ac:dyDescent="0.2">
      <c r="A33" s="169">
        <f>VLOOKUP(B33,$CW$31:$CX$35,2,FALSE)</f>
        <v>3</v>
      </c>
      <c r="B33" s="169" t="str">
        <f>'Countries and Timezone'!C25</f>
        <v>Irische Republik</v>
      </c>
      <c r="C33" s="169">
        <f>SUMPRODUCT(($CZ$3:$CZ$42=$B33)*($DD$3:$DD$42="W"))+SUMPRODUCT(($DC$3:$DC$42=$B33)*($DE$3:$DE$42="W"))</f>
        <v>1</v>
      </c>
      <c r="D33" s="169">
        <f>SUMPRODUCT(($CZ$3:$CZ$42=$B33)*($DD$3:$DD$42="D"))+SUMPRODUCT(($DC$3:$DC$42=$B33)*($DE$3:$DE$42="D"))</f>
        <v>1</v>
      </c>
      <c r="E33" s="169">
        <f>SUMPRODUCT(($CZ$3:$CZ$42=$B33)*($DD$3:$DD$42="L"))+SUMPRODUCT(($DC$3:$DC$42=$B33)*($DE$3:$DE$42="L"))</f>
        <v>1</v>
      </c>
      <c r="F33" s="169">
        <f>SUMIF($CZ$3:$CZ$60,B33,$DA$3:$DA$60)+SUMIF($DC$3:$DC$60,B33,$DB$3:$DB$60)</f>
        <v>2</v>
      </c>
      <c r="G33" s="169">
        <f>SUMIF($DC$3:$DC$60,B33,$DA$3:$DA$60)+SUMIF($CZ$3:$CZ$60,B33,$DB$3:$DB$60)</f>
        <v>4</v>
      </c>
      <c r="H33" s="169">
        <f>F33-G33+1000</f>
        <v>998</v>
      </c>
      <c r="I33" s="169">
        <f>C33*3+D33*1</f>
        <v>4</v>
      </c>
      <c r="J33" s="169">
        <v>102</v>
      </c>
      <c r="K33" s="169">
        <f>RANK(I33,I$31:I$35)</f>
        <v>3</v>
      </c>
      <c r="M33" s="169">
        <f>RANK(I33,$I$31:$I$35)+COUNTIF($I$31:I33,I33)-1</f>
        <v>3</v>
      </c>
      <c r="N33" s="169" t="str">
        <f>INDEX($B$31:$B$35,MATCH(3,$M$31:$M$35,0),0)</f>
        <v>Irische Republik</v>
      </c>
      <c r="O33" s="169">
        <f>INDEX($K$31:$K$35,MATCH(N33,$B$31:$B$35,0),0)</f>
        <v>3</v>
      </c>
      <c r="P33" s="169" t="str">
        <f>IF(AND(P32&lt;&gt;"",O33=1),N33,"")</f>
        <v/>
      </c>
      <c r="Q33" s="169" t="str">
        <f>IF(AND(Q32&lt;&gt;"",O34=2),N34,"")</f>
        <v/>
      </c>
      <c r="R33" s="169" t="str">
        <f>IF(AND(R32&lt;&gt;"",O35=3),N35,"")</f>
        <v/>
      </c>
      <c r="U33" s="169" t="str">
        <f>IF(P33&lt;&gt;"",P33,"")</f>
        <v/>
      </c>
      <c r="V33" s="169">
        <f>SUMPRODUCT(($CZ$3:$CZ$42=$U33)*($DC$3:$DC$42=$U34)*($DD$3:$DD$42="W"))+SUMPRODUCT(($CZ$3:$CZ$42=$U33)*($DC$3:$DC$42=$U35)*($DD$3:$DD$42="W"))+SUMPRODUCT(($CZ$3:$CZ$42=$U33)*($DC$3:$DC$42=$U31)*($DD$3:$DD$42="W"))+SUMPRODUCT(($CZ$3:$CZ$42=$U33)*($DC$3:$DC$42=$U32)*($DD$3:$DD$42="W"))+SUMPRODUCT(($CZ$3:$CZ$42=$U34)*($DC$3:$DC$42=$U33)*($DE$3:$DE$42="W"))+SUMPRODUCT(($CZ$3:$CZ$42=$U35)*($DC$3:$DC$42=$U33)*($DE$3:$DE$42="W"))+SUMPRODUCT(($CZ$3:$CZ$42=$U31)*($DC$3:$DC$42=$U33)*($DE$3:$DE$42="W"))+SUMPRODUCT(($CZ$3:$CZ$42=$U32)*($DC$3:$DC$42=$U33)*($DE$3:$DE$42="W"))</f>
        <v>0</v>
      </c>
      <c r="W33" s="169">
        <f>SUMPRODUCT(($CZ$3:$CZ$42=$U33)*($DC$3:$DC$42=$U34)*($DD$3:$DD$42="D"))+SUMPRODUCT(($CZ$3:$CZ$42=$U33)*($DC$3:$DC$42=$U35)*($DD$3:$DD$42="D"))+SUMPRODUCT(($CZ$3:$CZ$42=$U33)*($DC$3:$DC$42=$U31)*($DD$3:$DD$42="D"))+SUMPRODUCT(($CZ$3:$CZ$42=$U33)*($DC$3:$DC$42=$U32)*($DD$3:$DD$42="D"))+SUMPRODUCT(($CZ$3:$CZ$42=$U34)*($DC$3:$DC$42=$U33)*($DD$3:$DD$42="D"))+SUMPRODUCT(($CZ$3:$CZ$42=$U35)*($DC$3:$DC$42=$U33)*($DD$3:$DD$42="D"))+SUMPRODUCT(($CZ$3:$CZ$42=$U31)*($DC$3:$DC$42=$U33)*($DD$3:$DD$42="D"))+SUMPRODUCT(($CZ$3:$CZ$42=$U32)*($DC$3:$DC$42=$U33)*($DD$3:$DD$42="D"))</f>
        <v>0</v>
      </c>
      <c r="X33" s="169">
        <f>SUMPRODUCT(($CZ$3:$CZ$42=$U33)*($DC$3:$DC$42=$U34)*($DD$3:$DD$42="L"))+SUMPRODUCT(($CZ$3:$CZ$42=$U33)*($DC$3:$DC$42=$U35)*($DD$3:$DD$42="L"))+SUMPRODUCT(($CZ$3:$CZ$42=$U33)*($DC$3:$DC$42=$U31)*($DD$3:$DD$42="L"))+SUMPRODUCT(($CZ$3:$CZ$42=$U33)*($DC$3:$DC$42=$U32)*($DD$3:$DD$42="L"))+SUMPRODUCT(($CZ$3:$CZ$42=$U34)*($DC$3:$DC$42=$U33)*($DE$3:$DE$42="L"))+SUMPRODUCT(($CZ$3:$CZ$42=$U35)*($DC$3:$DC$42=$U33)*($DE$3:$DE$42="L"))+SUMPRODUCT(($CZ$3:$CZ$42=$U31)*($DC$3:$DC$42=$U33)*($DE$3:$DE$42="L"))+SUMPRODUCT(($CZ$3:$CZ$42=$U32)*($DC$3:$DC$42=$U33)*($DE$3:$DE$42="L"))</f>
        <v>0</v>
      </c>
      <c r="Y33" s="169">
        <f>SUMPRODUCT(($CZ$3:$CZ$42=$U33)*($DC$3:$DC$42=$U34)*$DA$3:$DA$42)+SUMPRODUCT(($CZ$3:$CZ$42=$U33)*($DC$3:$DC$42=$U35)*$DA$3:$DA$42)+SUMPRODUCT(($CZ$3:$CZ$42=$U33)*($DC$3:$DC$42=$U31)*$DA$3:$DA$42)+SUMPRODUCT(($CZ$3:$CZ$42=$U33)*($DC$3:$DC$42=$U32)*$DA$3:$DA$42)+SUMPRODUCT(($CZ$3:$CZ$42=$U34)*($DC$3:$DC$42=$U33)*$DB$3:$DB$42)+SUMPRODUCT(($CZ$3:$CZ$42=$U35)*($DC$3:$DC$42=$U33)*$DB$3:$DB$42)+SUMPRODUCT(($CZ$3:$CZ$42=$U31)*($DC$3:$DC$42=$U33)*$DB$3:$DB$42)+SUMPRODUCT(($CZ$3:$CZ$42=$U32)*($DC$3:$DC$42=$U33)*$DB$3:$DB$42)</f>
        <v>0</v>
      </c>
      <c r="Z33" s="169">
        <f>SUMPRODUCT(($CZ$3:$CZ$42=$U33)*($DC$3:$DC$42=$U34)*$DB$3:$DB$42)+SUMPRODUCT(($CZ$3:$CZ$42=$U33)*($DC$3:$DC$42=$U35)*$DB$3:$DB$42)+SUMPRODUCT(($CZ$3:$CZ$42=$U33)*($DC$3:$DC$42=$U31)*$DB$3:$DB$42)+SUMPRODUCT(($CZ$3:$CZ$42=$U33)*($DC$3:$DC$42=$U32)*$DB$3:$DB$42)+SUMPRODUCT(($CZ$3:$CZ$42=$U34)*($DC$3:$DC$42=$U33)*$DA$3:$DA$42)+SUMPRODUCT(($CZ$3:$CZ$42=$U35)*($DC$3:$DC$42=$U33)*$DA$3:$DA$42)+SUMPRODUCT(($CZ$3:$CZ$42=$U31)*($DC$3:$DC$42=$U33)*$DA$3:$DA$42)+SUMPRODUCT(($CZ$3:$CZ$42=$U32)*($DC$3:$DC$42=$U33)*$DA$3:$DA$42)</f>
        <v>0</v>
      </c>
      <c r="AA33" s="169">
        <f>Y33-Z33+1000</f>
        <v>1000</v>
      </c>
      <c r="AB33" s="169" t="str">
        <f>IF(U33&lt;&gt;"",V33*3+W33*1,"")</f>
        <v/>
      </c>
      <c r="AC33" s="169" t="str">
        <f>IF(U33&lt;&gt;"",VLOOKUP(U33,$B$4:$H$40,7,FALSE),"")</f>
        <v/>
      </c>
      <c r="AD33" s="169" t="str">
        <f>IF(U33&lt;&gt;"",VLOOKUP(U33,$B$4:$H$40,5,FALSE),"")</f>
        <v/>
      </c>
      <c r="AE33" s="169" t="str">
        <f>IF(U33&lt;&gt;"",VLOOKUP(U33,$B$4:$J$40,9,FALSE),"")</f>
        <v/>
      </c>
      <c r="AF33" s="169" t="str">
        <f>AB33</f>
        <v/>
      </c>
      <c r="AG33" s="169" t="str">
        <f>IF(U33&lt;&gt;"",RANK(AF33,$AF$31:$AF$35),"")</f>
        <v/>
      </c>
      <c r="AH33" s="169" t="str">
        <f>IF(U33&lt;&gt;"",SUMPRODUCT((AF$31:AF$35=AF33)*(AA$31:AA$35&gt;AA33)),"")</f>
        <v/>
      </c>
      <c r="AI33" s="169" t="str">
        <f>IF(U33&lt;&gt;"",SUMPRODUCT((AF$31:AF$35=AF33)*(AA$31:AA$35=AA33)*(Y$31:Y$35&gt;Y33)),"")</f>
        <v/>
      </c>
      <c r="AJ33" s="169" t="str">
        <f>IF(U33&lt;&gt;"",SUMPRODUCT((AF$31:AF$35=AF33)*(AA$31:AA$35=AA33)*(Y$31:Y$35=Y33)*(AC$31:AC$35&gt;AC33)),"")</f>
        <v/>
      </c>
      <c r="AK33" s="169" t="str">
        <f>IF(U33&lt;&gt;"",SUMPRODUCT((AF$31:AF$35=AF33)*(AA$31:AA$35=AA33)*(Y$31:Y$35=Y33)*(AC$31:AC$35=AC33)*(AD$31:AD$35&gt;AD33)),"")</f>
        <v/>
      </c>
      <c r="AL33" s="169" t="str">
        <f>IF(U33&lt;&gt;"",SUMPRODUCT((AF$31:AF$35=AF33)*(AA$31:AA$35=AA33)*(Y$31:Y$35=Y33)*(AC$31:AC$35=AC33)*(AD$31:AD$35=AD33)*(AE$31:AE$35&gt;AE33)),"")</f>
        <v/>
      </c>
      <c r="AM33" s="169" t="str">
        <f>IF(U33&lt;&gt;"",SUM(AG33:AL33),"")</f>
        <v/>
      </c>
      <c r="AN33" s="169" t="str">
        <f>IF(U33&lt;&gt;"",INDEX($U$31:$U$35,MATCH(3,$AM$31:$AM$35,0),0),"")</f>
        <v/>
      </c>
      <c r="AO33" s="169" t="str">
        <f>IF(Q32&lt;&gt;"",Q32,"")</f>
        <v/>
      </c>
      <c r="AP33" s="169">
        <f>SUMPRODUCT(($CZ$3:$CZ$42=$AO33)*($DC$3:$DC$42=$AO34)*($DD$3:$DD$42="W"))+SUMPRODUCT(($CZ$3:$CZ$42=$AO33)*($DC$3:$DC$42=$AO35)*($DD$3:$DD$42="W"))+SUMPRODUCT(($CZ$3:$CZ$42=$AO33)*($DC$3:$DC$42=$AO32)*($DD$3:$DD$42="W"))+SUMPRODUCT(($CZ$3:$CZ$42=$AO34)*($DC$3:$DC$42=$AO33)*($DE$3:$DE$42="W"))+SUMPRODUCT(($CZ$3:$CZ$42=$AO35)*($DC$3:$DC$42=$AO33)*($DE$3:$DE$42="W"))+SUMPRODUCT(($CZ$3:$CZ$42=$AO32)*($DC$3:$DC$42=$AO33)*($DE$3:$DE$42="W"))</f>
        <v>0</v>
      </c>
      <c r="AQ33" s="169">
        <f>SUMPRODUCT(($CZ$3:$CZ$42=$AO33)*($DC$3:$DC$42=$AO34)*($DD$3:$DD$42="D"))+SUMPRODUCT(($CZ$3:$CZ$42=$AO33)*($DC$3:$DC$42=$AO35)*($DD$3:$DD$42="D"))+SUMPRODUCT(($CZ$3:$CZ$42=$AO33)*($DC$3:$DC$42=$AO32)*($DD$3:$DD$42="D"))+SUMPRODUCT(($CZ$3:$CZ$42=$AO34)*($DC$3:$DC$42=$AO33)*($DD$3:$DD$42="D"))+SUMPRODUCT(($CZ$3:$CZ$42=$AO35)*($DC$3:$DC$42=$AO33)*($DD$3:$DD$42="D"))+SUMPRODUCT(($CZ$3:$CZ$42=$AO32)*($DC$3:$DC$42=$AO33)*($DD$3:$DD$42="D"))</f>
        <v>0</v>
      </c>
      <c r="AR33" s="169">
        <f>SUMPRODUCT(($CZ$3:$CZ$42=$AO33)*($DC$3:$DC$42=$AO34)*($DD$3:$DD$42="L"))+SUMPRODUCT(($CZ$3:$CZ$42=$AO33)*($DC$3:$DC$42=$AO35)*($DD$3:$DD$42="L"))+SUMPRODUCT(($CZ$3:$CZ$42=$AO33)*($DC$3:$DC$42=$AO32)*($DD$3:$DD$42="L"))+SUMPRODUCT(($CZ$3:$CZ$42=$AO34)*($DC$3:$DC$42=$AO33)*($DE$3:$DE$42="L"))+SUMPRODUCT(($CZ$3:$CZ$42=$AO35)*($DC$3:$DC$42=$AO33)*($DE$3:$DE$42="L"))+SUMPRODUCT(($CZ$3:$CZ$42=$AO32)*($DC$3:$DC$42=$AO33)*($DE$3:$DE$42="L"))</f>
        <v>0</v>
      </c>
      <c r="AS33" s="169">
        <f>SUMPRODUCT(($CZ$3:$CZ$42=$AO33)*($DC$3:$DC$42=$AO34)*$DA$3:$DA$42)+SUMPRODUCT(($CZ$3:$CZ$42=$AO33)*($DC$3:$DC$42=$AO35)*$DA$3:$DA$42)+SUMPRODUCT(($CZ$3:$CZ$42=$AO33)*($DC$3:$DC$42=$AO31)*$DA$3:$DA$42)+SUMPRODUCT(($CZ$3:$CZ$42=$AO33)*($DC$3:$DC$42=$AO32)*$DA$3:$DA$42)+SUMPRODUCT(($CZ$3:$CZ$42=$AO34)*($DC$3:$DC$42=$AO33)*$DB$3:$DB$42)+SUMPRODUCT(($CZ$3:$CZ$42=$AO35)*($DC$3:$DC$42=$AO33)*$DB$3:$DB$42)+SUMPRODUCT(($CZ$3:$CZ$42=$AO31)*($DC$3:$DC$42=$AO33)*$DB$3:$DB$42)+SUMPRODUCT(($CZ$3:$CZ$42=$AO32)*($DC$3:$DC$42=$AO33)*$DB$3:$DB$42)</f>
        <v>0</v>
      </c>
      <c r="AT33" s="169">
        <f>SUMPRODUCT(($CZ$3:$CZ$42=$AO33)*($DC$3:$DC$42=$AO34)*$DB$3:$DB$42)+SUMPRODUCT(($CZ$3:$CZ$42=$AO33)*($DC$3:$DC$42=$AO35)*$DB$3:$DB$42)+SUMPRODUCT(($CZ$3:$CZ$42=$AO33)*($DC$3:$DC$42=$AO31)*$DB$3:$DB$42)+SUMPRODUCT(($CZ$3:$CZ$42=$AO33)*($DC$3:$DC$42=$AO32)*$DB$3:$DB$42)+SUMPRODUCT(($CZ$3:$CZ$42=$AO34)*($DC$3:$DC$42=$AO33)*$DA$3:$DA$42)+SUMPRODUCT(($CZ$3:$CZ$42=$AO35)*($DC$3:$DC$42=$AO33)*$DA$3:$DA$42)+SUMPRODUCT(($CZ$3:$CZ$42=$AO31)*($DC$3:$DC$42=$AO33)*$DA$3:$DA$42)+SUMPRODUCT(($CZ$3:$CZ$42=$AO32)*($DC$3:$DC$42=$AO33)*$DA$3:$DA$42)</f>
        <v>0</v>
      </c>
      <c r="AU33" s="169">
        <f>AS33-AT33+1000</f>
        <v>1000</v>
      </c>
      <c r="AV33" s="169" t="str">
        <f>IF(AO33&lt;&gt;"",AP33*3+AQ33*1,"")</f>
        <v/>
      </c>
      <c r="AW33" s="169" t="str">
        <f>IF(AO33&lt;&gt;"",VLOOKUP(AO33,$B$4:$H$40,7,FALSE),"")</f>
        <v/>
      </c>
      <c r="AX33" s="169" t="str">
        <f>IF(AO33&lt;&gt;"",VLOOKUP(AO33,$B$4:$H$40,5,FALSE),"")</f>
        <v/>
      </c>
      <c r="AY33" s="169" t="str">
        <f>IF(AO33&lt;&gt;"",VLOOKUP(AO33,$B$4:$J$40,9,FALSE),"")</f>
        <v/>
      </c>
      <c r="AZ33" s="169" t="str">
        <f>AV33</f>
        <v/>
      </c>
      <c r="BA33" s="169" t="str">
        <f>IF(AO33&lt;&gt;"",RANK(AZ33,AZ$31:AZ$35),"")</f>
        <v/>
      </c>
      <c r="BB33" s="169" t="str">
        <f>IF(AO33&lt;&gt;"",SUMPRODUCT((AZ$31:AZ$35=AZ33)*(AU$31:AU$35&gt;AU33)),"")</f>
        <v/>
      </c>
      <c r="BC33" s="169" t="str">
        <f>IF(AO33&lt;&gt;"",SUMPRODUCT((AZ$31:AZ$35=AZ33)*(AU$31:AU$35=AU33)*(AS$31:AS$35&gt;AS33)),"")</f>
        <v/>
      </c>
      <c r="BD33" s="169" t="str">
        <f>IF(AO33&lt;&gt;"",SUMPRODUCT((AZ$31:AZ$35=AZ33)*(AU$31:AU$35=AU33)*(AS$31:AS$35=AS33)*(AW$31:AW$35&gt;AW33)),"")</f>
        <v/>
      </c>
      <c r="BE33" s="169" t="str">
        <f>IF(AO33&lt;&gt;"",SUMPRODUCT((AZ$31:AZ$35=AZ33)*(AU$31:AU$35=AU33)*(AS$31:AS$35=AS33)*(AW$31:AW$35=AW33)*(AX$31:AX$35&gt;AX33)),"")</f>
        <v/>
      </c>
      <c r="BF33" s="169" t="str">
        <f>IF(AO33&lt;&gt;"",SUMPRODUCT((AZ$31:AZ$35=AZ33)*(AU$31:AU$35=AU33)*(AS$31:AS$35=AS33)*(AW$31:AW$35=AW33)*(AX$31:AX$35=AX33)*(AY$31:AY$35&gt;AY33)),"")</f>
        <v/>
      </c>
      <c r="BG33" s="169" t="str">
        <f>IF(AO33&lt;&gt;"",SUM(BA33:BF33)+1,"")</f>
        <v/>
      </c>
      <c r="BH33" s="169" t="str">
        <f>IF(AO33&lt;&gt;"",INDEX(AO32:AO35,MATCH(3,BG32:BG35,0),0),"")</f>
        <v/>
      </c>
      <c r="BI33" s="169" t="str">
        <f>IF(R31&lt;&gt;"",R31,"")</f>
        <v/>
      </c>
      <c r="BJ33" s="169">
        <f>SUMPRODUCT(($CZ$3:$CZ$42=$BI33)*($DC$3:$DC$42=$BI34)*($DD$3:$DD$42="W"))+SUMPRODUCT(($CZ$3:$CZ$42=$BI33)*($DC$3:$DC$42=$BI35)*($DD$3:$DD$42="W"))+SUMPRODUCT(($CZ$3:$CZ$42=$BI33)*($DC$3:$DC$42=$BI36)*($DD$3:$DD$42="W"))+SUMPRODUCT(($CZ$3:$CZ$42=$BI34)*($DC$3:$DC$42=$BI33)*($DE$3:$DE$42="W"))+SUMPRODUCT(($CZ$3:$CZ$42=$BI35)*($DC$3:$DC$42=$BI33)*($DE$3:$DE$42="W"))+SUMPRODUCT(($CZ$3:$CZ$42=$BI36)*($DC$3:$DC$42=$BI33)*($DE$3:$DE$42="W"))</f>
        <v>0</v>
      </c>
      <c r="BK33" s="169">
        <f>SUMPRODUCT(($CZ$3:$CZ$42=$BI33)*($DC$3:$DC$42=$BI34)*($DD$3:$DD$42="D"))+SUMPRODUCT(($CZ$3:$CZ$42=$BI33)*($DC$3:$DC$42=$BI35)*($DD$3:$DD$42="D"))+SUMPRODUCT(($CZ$3:$CZ$42=$BI33)*($DC$3:$DC$42=$BI36)*($DD$3:$DD$42="D"))+SUMPRODUCT(($CZ$3:$CZ$42=$BI34)*($DC$3:$DC$42=$BI33)*($DD$3:$DD$42="D"))+SUMPRODUCT(($CZ$3:$CZ$42=$BI35)*($DC$3:$DC$42=$BI33)*($DD$3:$DD$42="D"))+SUMPRODUCT(($CZ$3:$CZ$42=$BI36)*($DC$3:$DC$42=$BI33)*($DD$3:$DD$42="D"))</f>
        <v>0</v>
      </c>
      <c r="BL33" s="169">
        <f>SUMPRODUCT(($CZ$3:$CZ$42=$BI33)*($DC$3:$DC$42=$BI34)*($DD$3:$DD$42="L"))+SUMPRODUCT(($CZ$3:$CZ$42=$BI33)*($DC$3:$DC$42=$BI35)*($DD$3:$DD$42="L"))+SUMPRODUCT(($CZ$3:$CZ$42=$BI33)*($DC$3:$DC$42=$BI36)*($DD$3:$DD$42="L"))+SUMPRODUCT(($CZ$3:$CZ$42=$BI34)*($DC$3:$DC$42=$BI33)*($DE$3:$DE$42="L"))+SUMPRODUCT(($CZ$3:$CZ$42=$BI35)*($DC$3:$DC$42=$BI33)*($DE$3:$DE$42="L"))+SUMPRODUCT(($CZ$3:$CZ$42=$BI36)*($DC$3:$DC$42=$BI33)*($DE$3:$DE$42="L"))</f>
        <v>0</v>
      </c>
      <c r="BM33" s="169">
        <f>SUMPRODUCT(($CZ$3:$CZ$42=$BI33)*($DC$3:$DC$42=$BI34)*$DA$3:$DA$42)+SUMPRODUCT(($CZ$3:$CZ$42=$BI33)*($DC$3:$DC$42=$BI35)*$DA$3:$DA$42)+SUMPRODUCT(($CZ$3:$CZ$42=$BI33)*($DC$3:$DC$42=$BI31)*$DA$3:$DA$42)+SUMPRODUCT(($CZ$3:$CZ$42=$BI33)*($DC$3:$DC$42=$BI32)*$DA$3:$DA$42)+SUMPRODUCT(($CZ$3:$CZ$42=$BI34)*($DC$3:$DC$42=$BI33)*$DB$3:$DB$42)+SUMPRODUCT(($CZ$3:$CZ$42=$BI35)*($DC$3:$DC$42=$BI33)*$DB$3:$DB$42)+SUMPRODUCT(($CZ$3:$CZ$42=$BI31)*($DC$3:$DC$42=$BI33)*$DB$3:$DB$42)+SUMPRODUCT(($CZ$3:$CZ$42=$BI32)*($DC$3:$DC$42=$BI33)*$DB$3:$DB$42)</f>
        <v>0</v>
      </c>
      <c r="BN33" s="169">
        <f>SUMPRODUCT(($CZ$3:$CZ$42=$BI33)*($DC$3:$DC$42=$BI34)*$DB$3:$DB$42)+SUMPRODUCT(($CZ$3:$CZ$42=$BI33)*($DC$3:$DC$42=$BI35)*$DB$3:$DB$42)+SUMPRODUCT(($CZ$3:$CZ$42=$BI33)*($DC$3:$DC$42=$BI31)*$DB$3:$DB$42)+SUMPRODUCT(($CZ$3:$CZ$42=$BI33)*($DC$3:$DC$42=$BI32)*$DB$3:$DB$42)+SUMPRODUCT(($CZ$3:$CZ$42=$BI34)*($DC$3:$DC$42=$BI33)*$DA$3:$DA$42)+SUMPRODUCT(($CZ$3:$CZ$42=$BI35)*($DC$3:$DC$42=$BI33)*$DA$3:$DA$42)+SUMPRODUCT(($CZ$3:$CZ$42=$BI31)*($DC$3:$DC$42=$BI33)*$DA$3:$DA$42)+SUMPRODUCT(($CZ$3:$CZ$42=$BI32)*($DC$3:$DC$42=$BI33)*$DA$3:$DA$42)</f>
        <v>0</v>
      </c>
      <c r="BO33" s="169">
        <f>BM33-BN33+1000</f>
        <v>1000</v>
      </c>
      <c r="BP33" s="169" t="str">
        <f>IF(BI33&lt;&gt;"",BJ33*3+BK33*1,"")</f>
        <v/>
      </c>
      <c r="BQ33" s="169" t="str">
        <f>IF(BI33&lt;&gt;"",VLOOKUP(BI33,$B$4:$H$40,7,FALSE),"")</f>
        <v/>
      </c>
      <c r="BR33" s="169" t="str">
        <f>IF(BI33&lt;&gt;"",VLOOKUP(BI33,$B$4:$H$40,5,FALSE),"")</f>
        <v/>
      </c>
      <c r="BS33" s="169" t="str">
        <f>IF(BI33&lt;&gt;"",VLOOKUP(BI33,$B$4:$J$40,9,FALSE),"")</f>
        <v/>
      </c>
      <c r="BT33" s="169" t="str">
        <f>BP33</f>
        <v/>
      </c>
      <c r="BU33" s="169" t="str">
        <f>IF(BI33&lt;&gt;"",RANK(BT33,$BT$32:$BT$35),"")</f>
        <v/>
      </c>
      <c r="BV33" s="169" t="str">
        <f>IF(BI33&lt;&gt;"",SUMPRODUCT((BT$31:BT$35=BT33)*(BO$31:BO$35&gt;BO33)),"")</f>
        <v/>
      </c>
      <c r="BW33" s="169" t="str">
        <f>IF(BI33&lt;&gt;"",SUMPRODUCT((BT$31:BT$35=BT33)*(BO$31:BO$35=BO33)*(BM$31:BM$35&gt;BM33)),"")</f>
        <v/>
      </c>
      <c r="BX33" s="169" t="str">
        <f>IF(BI33&lt;&gt;"",SUMPRODUCT((BT$31:BT$35=BT33)*(BO$31:BO$35=BO33)*(BM$31:BM$35=BM33)*(BQ$31:BQ$35&gt;BQ33)),"")</f>
        <v/>
      </c>
      <c r="BY33" s="169" t="str">
        <f>IF(BI33&lt;&gt;"",SUMPRODUCT((BT$31:BT$35=BT33)*(BO$31:BO$35=BO33)*(BM$31:BM$35=BM33)*(BQ$31:BQ$35=BQ33)*(BR$31:BR$35&gt;BR33)),"")</f>
        <v/>
      </c>
      <c r="BZ33" s="169" t="str">
        <f>IF(BI33&lt;&gt;"",SUMPRODUCT((BT$31:BT$35=BT33)*(BO$31:BO$35=BO33)*(BM$31:BM$35=BM33)*(BQ$31:BQ$35=BQ33)*(BR$31:BR$35=BR33)*(BS$31:BS$35&gt;BS33)),"")</f>
        <v/>
      </c>
      <c r="CA33" s="169" t="str">
        <f>IF(BI33&lt;&gt;"",SUM(BU33:BZ33)+2,"")</f>
        <v/>
      </c>
      <c r="CB33" s="169" t="str">
        <f>IF(BI33&lt;&gt;"",INDEX(BI33:BI35,MATCH(3,CA33:CA35,0),0),"")</f>
        <v/>
      </c>
      <c r="CW33" s="169" t="str">
        <f>IF(CB33&lt;&gt;"",CB33,IF(BH33&lt;&gt;"",BH33,IF(AN33&lt;&gt;"",AN33,N33)))</f>
        <v>Irische Republik</v>
      </c>
      <c r="CX33" s="169">
        <v>3</v>
      </c>
      <c r="CY33" s="169">
        <v>31</v>
      </c>
      <c r="CZ33" s="169" t="str">
        <f>Tournament!H43</f>
        <v>Tschechien</v>
      </c>
      <c r="DA33" s="169">
        <f>IF(AND(Tournament!J43&lt;&gt;"",Tournament!L43&lt;&gt;""),Tournament!J43,0)</f>
        <v>0</v>
      </c>
      <c r="DB33" s="169">
        <f>IF(AND(Tournament!L43&lt;&gt;"",Tournament!J43&lt;&gt;""),Tournament!L43,0)</f>
        <v>2</v>
      </c>
      <c r="DC33" s="169" t="str">
        <f>Tournament!N43</f>
        <v>Truthahn</v>
      </c>
      <c r="DD33" s="169" t="str">
        <f>IF(AND(Tournament!J43&lt;&gt;"",Tournament!L43&lt;&gt;""),IF(DA33&gt;DB33,"W",IF(DA33=DB33,"D","L")),"")</f>
        <v>L</v>
      </c>
      <c r="DE33" s="169" t="str">
        <f t="shared" si="6"/>
        <v>W</v>
      </c>
    </row>
    <row r="34" spans="1:109" x14ac:dyDescent="0.2">
      <c r="A34" s="169">
        <f>VLOOKUP(B34,$CW$31:$CX$35,2,FALSE)</f>
        <v>4</v>
      </c>
      <c r="B34" s="169" t="str">
        <f>'Countries and Timezone'!C26</f>
        <v>Schweden</v>
      </c>
      <c r="C34" s="169">
        <f>SUMPRODUCT(($CZ$3:$CZ$42=$B34)*($DD$3:$DD$42="W"))+SUMPRODUCT(($DC$3:$DC$42=$B34)*($DE$3:$DE$42="W"))</f>
        <v>0</v>
      </c>
      <c r="D34" s="169">
        <f>SUMPRODUCT(($CZ$3:$CZ$42=$B34)*($DD$3:$DD$42="D"))+SUMPRODUCT(($DC$3:$DC$42=$B34)*($DE$3:$DE$42="D"))</f>
        <v>1</v>
      </c>
      <c r="E34" s="169">
        <f>SUMPRODUCT(($CZ$3:$CZ$42=$B34)*($DD$3:$DD$42="L"))+SUMPRODUCT(($DC$3:$DC$42=$B34)*($DE$3:$DE$42="L"))</f>
        <v>2</v>
      </c>
      <c r="F34" s="169">
        <f>SUMIF($CZ$3:$CZ$60,B34,$DA$3:$DA$60)+SUMIF($DC$3:$DC$60,B34,$DB$3:$DB$60)</f>
        <v>1</v>
      </c>
      <c r="G34" s="169">
        <f>SUMIF($DC$3:$DC$60,B34,$DA$3:$DA$60)+SUMIF($CZ$3:$CZ$60,B34,$DB$3:$DB$60)</f>
        <v>3</v>
      </c>
      <c r="H34" s="169">
        <f>F34-G34+1000</f>
        <v>998</v>
      </c>
      <c r="I34" s="169">
        <f>C34*3+D34*1</f>
        <v>1</v>
      </c>
      <c r="J34" s="169">
        <v>103</v>
      </c>
      <c r="K34" s="169">
        <f>RANK(I34,I$31:I$35)</f>
        <v>4</v>
      </c>
      <c r="M34" s="169">
        <f>RANK(I34,$I$31:$I$35)+COUNTIF($I$31:I34,I34)-1</f>
        <v>4</v>
      </c>
      <c r="N34" s="169" t="str">
        <f>INDEX($B$31:$B$35,MATCH(4,$M$31:$M$35,0),0)</f>
        <v>Schweden</v>
      </c>
      <c r="O34" s="169">
        <f>INDEX($K$31:$K$35,MATCH(N34,$B$31:$B$35,0),0)</f>
        <v>4</v>
      </c>
      <c r="P34" s="169" t="str">
        <f>IF(AND(P33&lt;&gt;"",O34=1),N34,"")</f>
        <v/>
      </c>
      <c r="Q34" s="169" t="str">
        <f>IF(AND(Q33&lt;&gt;"",O35=2),N35,"")</f>
        <v/>
      </c>
      <c r="U34" s="169" t="str">
        <f>IF(P34&lt;&gt;"",P34,"")</f>
        <v/>
      </c>
      <c r="V34" s="169">
        <f>SUMPRODUCT(($CZ$3:$CZ$42=$U34)*($DC$3:$DC$42=$U35)*($DD$3:$DD$42="W"))+SUMPRODUCT(($CZ$3:$CZ$42=$U34)*($DC$3:$DC$42=$U31)*($DD$3:$DD$42="W"))+SUMPRODUCT(($CZ$3:$CZ$42=$U34)*($DC$3:$DC$42=$U32)*($DD$3:$DD$42="W"))+SUMPRODUCT(($CZ$3:$CZ$42=$U34)*($DC$3:$DC$42=$U33)*($DD$3:$DD$42="W"))+SUMPRODUCT(($CZ$3:$CZ$42=$U35)*($DC$3:$DC$42=$U34)*($DE$3:$DE$42="W"))+SUMPRODUCT(($CZ$3:$CZ$42=$U31)*($DC$3:$DC$42=$U34)*($DE$3:$DE$42="W"))+SUMPRODUCT(($CZ$3:$CZ$42=$U32)*($DC$3:$DC$42=$U34)*($DE$3:$DE$42="W"))+SUMPRODUCT(($CZ$3:$CZ$42=$U33)*($DC$3:$DC$42=$U34)*($DE$3:$DE$42="W"))</f>
        <v>0</v>
      </c>
      <c r="W34" s="169">
        <f>SUMPRODUCT(($CZ$3:$CZ$42=$U34)*($DC$3:$DC$42=$U35)*($DD$3:$DD$42="D"))+SUMPRODUCT(($CZ$3:$CZ$42=$U34)*($DC$3:$DC$42=$U31)*($DD$3:$DD$42="D"))+SUMPRODUCT(($CZ$3:$CZ$42=$U34)*($DC$3:$DC$42=$U32)*($DD$3:$DD$42="D"))+SUMPRODUCT(($CZ$3:$CZ$42=$U34)*($DC$3:$DC$42=$U33)*($DD$3:$DD$42="D"))+SUMPRODUCT(($CZ$3:$CZ$42=$U35)*($DC$3:$DC$42=$U34)*($DD$3:$DD$42="D"))+SUMPRODUCT(($CZ$3:$CZ$42=$U31)*($DC$3:$DC$42=$U34)*($DD$3:$DD$42="D"))+SUMPRODUCT(($CZ$3:$CZ$42=$U32)*($DC$3:$DC$42=$U34)*($DD$3:$DD$42="D"))+SUMPRODUCT(($CZ$3:$CZ$42=$U33)*($DC$3:$DC$42=$U34)*($DD$3:$DD$42="D"))</f>
        <v>0</v>
      </c>
      <c r="X34" s="169">
        <f>SUMPRODUCT(($CZ$3:$CZ$42=$U34)*($DC$3:$DC$42=$U35)*($DD$3:$DD$42="L"))+SUMPRODUCT(($CZ$3:$CZ$42=$U34)*($DC$3:$DC$42=$U31)*($DD$3:$DD$42="L"))+SUMPRODUCT(($CZ$3:$CZ$42=$U34)*($DC$3:$DC$42=$U32)*($DD$3:$DD$42="L"))+SUMPRODUCT(($CZ$3:$CZ$42=$U34)*($DC$3:$DC$42=$U33)*($DD$3:$DD$42="L"))+SUMPRODUCT(($CZ$3:$CZ$42=$U35)*($DC$3:$DC$42=$U34)*($DE$3:$DE$42="L"))+SUMPRODUCT(($CZ$3:$CZ$42=$U31)*($DC$3:$DC$42=$U34)*($DE$3:$DE$42="L"))+SUMPRODUCT(($CZ$3:$CZ$42=$U32)*($DC$3:$DC$42=$U34)*($DE$3:$DE$42="L"))+SUMPRODUCT(($CZ$3:$CZ$42=$U33)*($DC$3:$DC$42=$U34)*($DE$3:$DE$42="L"))</f>
        <v>0</v>
      </c>
      <c r="Y34" s="169">
        <f>SUMPRODUCT(($CZ$3:$CZ$42=$U34)*($DC$3:$DC$42=$U35)*$DA$3:$DA$42)+SUMPRODUCT(($CZ$3:$CZ$42=$U34)*($DC$3:$DC$42=$U31)*$DA$3:$DA$42)+SUMPRODUCT(($CZ$3:$CZ$42=$U34)*($DC$3:$DC$42=$U32)*$DA$3:$DA$42)+SUMPRODUCT(($CZ$3:$CZ$42=$U34)*($DC$3:$DC$42=$U33)*$DA$3:$DA$42)+SUMPRODUCT(($CZ$3:$CZ$42=$U35)*($DC$3:$DC$42=$U34)*$DB$3:$DB$42)+SUMPRODUCT(($CZ$3:$CZ$42=$U31)*($DC$3:$DC$42=$U34)*$DB$3:$DB$42)+SUMPRODUCT(($CZ$3:$CZ$42=$U32)*($DC$3:$DC$42=$U34)*$DB$3:$DB$42)+SUMPRODUCT(($CZ$3:$CZ$42=$U33)*($DC$3:$DC$42=$U34)*$DB$3:$DB$42)</f>
        <v>0</v>
      </c>
      <c r="Z34" s="169">
        <f>SUMPRODUCT(($CZ$3:$CZ$42=$U34)*($DC$3:$DC$42=$U35)*$DB$3:$DB$42)+SUMPRODUCT(($CZ$3:$CZ$42=$U34)*($DC$3:$DC$42=$U31)*$DB$3:$DB$42)+SUMPRODUCT(($CZ$3:$CZ$42=$U34)*($DC$3:$DC$42=$U32)*$DB$3:$DB$42)+SUMPRODUCT(($CZ$3:$CZ$42=$U34)*($DC$3:$DC$42=$U33)*$DB$3:$DB$42)+SUMPRODUCT(($CZ$3:$CZ$42=$U35)*($DC$3:$DC$42=$U34)*$DA$3:$DA$42)+SUMPRODUCT(($CZ$3:$CZ$42=$U31)*($DC$3:$DC$42=$U34)*$DA$3:$DA$42)+SUMPRODUCT(($CZ$3:$CZ$42=$U32)*($DC$3:$DC$42=$U34)*$DA$3:$DA$42)+SUMPRODUCT(($CZ$3:$CZ$42=$U33)*($DC$3:$DC$42=$U34)*$DA$3:$DA$42)</f>
        <v>0</v>
      </c>
      <c r="AA34" s="169">
        <f>Y34-Z34+1000</f>
        <v>1000</v>
      </c>
      <c r="AB34" s="169" t="str">
        <f>IF(U34&lt;&gt;"",V34*3+W34*1,"")</f>
        <v/>
      </c>
      <c r="AC34" s="169" t="str">
        <f>IF(U34&lt;&gt;"",VLOOKUP(U34,$B$4:$H$40,7,FALSE),"")</f>
        <v/>
      </c>
      <c r="AD34" s="169" t="str">
        <f>IF(U34&lt;&gt;"",VLOOKUP(U34,$B$4:$H$40,5,FALSE),"")</f>
        <v/>
      </c>
      <c r="AE34" s="169" t="str">
        <f>IF(U34&lt;&gt;"",VLOOKUP(U34,$B$4:$J$40,9,FALSE),"")</f>
        <v/>
      </c>
      <c r="AF34" s="169" t="str">
        <f>AB34</f>
        <v/>
      </c>
      <c r="AG34" s="169" t="str">
        <f>IF(U34&lt;&gt;"",RANK(AF34,$AF$31:$AF$35),"")</f>
        <v/>
      </c>
      <c r="AH34" s="169" t="str">
        <f>IF(U34&lt;&gt;"",SUMPRODUCT((AF$31:AF$35=AF34)*(AA$31:AA$35&gt;AA34)),"")</f>
        <v/>
      </c>
      <c r="AI34" s="169" t="str">
        <f>IF(U34&lt;&gt;"",SUMPRODUCT((AF$31:AF$35=AF34)*(AA$31:AA$35=AA34)*(Y$31:Y$35&gt;Y34)),"")</f>
        <v/>
      </c>
      <c r="AJ34" s="169" t="str">
        <f>IF(U34&lt;&gt;"",SUMPRODUCT((AF$31:AF$35=AF34)*(AA$31:AA$35=AA34)*(Y$31:Y$35=Y34)*(AC$31:AC$35&gt;AC34)),"")</f>
        <v/>
      </c>
      <c r="AK34" s="169" t="str">
        <f>IF(U34&lt;&gt;"",SUMPRODUCT((AF$31:AF$35=AF34)*(AA$31:AA$35=AA34)*(Y$31:Y$35=Y34)*(AC$31:AC$35=AC34)*(AD$31:AD$35&gt;AD34)),"")</f>
        <v/>
      </c>
      <c r="AL34" s="169" t="str">
        <f>IF(U34&lt;&gt;"",SUMPRODUCT((AF$31:AF$35=AF34)*(AA$31:AA$35=AA34)*(Y$31:Y$35=Y34)*(AC$31:AC$35=AC34)*(AD$31:AD$35=AD34)*(AE$31:AE$35&gt;AE34)),"")</f>
        <v/>
      </c>
      <c r="AM34" s="169" t="str">
        <f>IF(U34&lt;&gt;"",SUM(AG34:AL34),"")</f>
        <v/>
      </c>
      <c r="AN34" s="169" t="str">
        <f>IF(U34&lt;&gt;"",INDEX($U$31:$U$35,MATCH(4,$AM$31:$AM$35,0),0),"")</f>
        <v/>
      </c>
      <c r="AO34" s="169" t="str">
        <f>IF(Q33&lt;&gt;"",Q33,"")</f>
        <v/>
      </c>
      <c r="AP34" s="169" t="str">
        <f>IF($AO34&lt;&gt;"",SUMPRODUCT(($CZ$3:$CZ$42=$AO34)*($DC$3:$DC$42=$AO35)*($DD$3:$DD$42="W"))+SUMPRODUCT(($CZ$3:$CZ$42=$AO34)*($DC$3:$DC$42=$AO32)*($DD$3:$DD$42="W"))+SUMPRODUCT(($CZ$3:$CZ$42=$AO34)*($DC$3:$DC$42=$AO33)*($DD$3:$DD$42="W"))+SUMPRODUCT(($CZ$3:$CZ$42=$AO35)*($DC$3:$DC$42=$AO34)*($DE$3:$DE$42="W"))+SUMPRODUCT(($CZ$3:$CZ$42=$AO32)*($DC$3:$DC$42=$AO34)*($DE$3:$DE$42="W"))+SUMPRODUCT(($CZ$3:$CZ$42=$AO33)*($DC$3:$DC$42=$AO34)*($DE$3:$DE$42="W")),"")</f>
        <v/>
      </c>
      <c r="AQ34" s="169" t="str">
        <f>IF($AO34&lt;&gt;"",SUMPRODUCT(($CZ$3:$CZ$42=$AO34)*($DC$3:$DC$42=$AO35)*($DD$3:$DD$42="D"))+SUMPRODUCT(($CZ$3:$CZ$42=$AO34)*($DC$3:$DC$42=$AO32)*($DD$3:$DD$42="D"))+SUMPRODUCT(($CZ$3:$CZ$42=$AO34)*($DC$3:$DC$42=$AO33)*($DD$3:$DD$42="D"))+SUMPRODUCT(($CZ$3:$CZ$42=$AO35)*($DC$3:$DC$42=$AO34)*($DD$3:$DD$42="D"))+SUMPRODUCT(($CZ$3:$CZ$42=$AO32)*($DC$3:$DC$42=$AO34)*($DD$3:$DD$42="D"))+SUMPRODUCT(($CZ$3:$CZ$42=$AO33)*($DC$3:$DC$42=$AO34)*($DD$3:$DD$42="D")),"")</f>
        <v/>
      </c>
      <c r="AR34" s="169" t="str">
        <f>IF($AO34&lt;&gt;"",SUMPRODUCT(($CZ$3:$CZ$42=$AO34)*($DC$3:$DC$42=$AO35)*($DD$3:$DD$42="L"))+SUMPRODUCT(($CZ$3:$CZ$42=$AO34)*($DC$3:$DC$42=$AO32)*($DD$3:$DD$42="L"))+SUMPRODUCT(($CZ$3:$CZ$42=$AO34)*($DC$3:$DC$42=$AO33)*($DD$3:$DD$42="L"))+SUMPRODUCT(($CZ$3:$CZ$42=$AO35)*($DC$3:$DC$42=$AO34)*($DE$3:$DE$42="L"))+SUMPRODUCT(($CZ$3:$CZ$42=$AO32)*($DC$3:$DC$42=$AO34)*($DE$3:$DE$42="L"))+SUMPRODUCT(($CZ$3:$CZ$42=$AO33)*($DC$3:$DC$42=$AO34)*($DE$3:$DE$42="L")),"")</f>
        <v/>
      </c>
      <c r="AS34" s="169">
        <f>SUMPRODUCT(($CZ$3:$CZ$42=$AO34)*($DC$3:$DC$42=$AO35)*$DA$3:$DA$42)+SUMPRODUCT(($CZ$3:$CZ$42=$AO34)*($DC$3:$DC$42=$AO31)*$DA$3:$DA$42)+SUMPRODUCT(($CZ$3:$CZ$42=$AO34)*($DC$3:$DC$42=$AO32)*$DA$3:$DA$42)+SUMPRODUCT(($CZ$3:$CZ$42=$AO34)*($DC$3:$DC$42=$AO33)*$DA$3:$DA$42)+SUMPRODUCT(($CZ$3:$CZ$42=$AO35)*($DC$3:$DC$42=$AO34)*$DB$3:$DB$42)+SUMPRODUCT(($CZ$3:$CZ$42=$AO31)*($DC$3:$DC$42=$AO34)*$DB$3:$DB$42)+SUMPRODUCT(($CZ$3:$CZ$42=$AO32)*($DC$3:$DC$42=$AO34)*$DB$3:$DB$42)+SUMPRODUCT(($CZ$3:$CZ$42=$AO33)*($DC$3:$DC$42=$AO34)*$DB$3:$DB$42)</f>
        <v>0</v>
      </c>
      <c r="AT34" s="169">
        <f>SUMPRODUCT(($CZ$3:$CZ$42=$AO34)*($DC$3:$DC$42=$AO35)*$DB$3:$DB$42)+SUMPRODUCT(($CZ$3:$CZ$42=$AO34)*($DC$3:$DC$42=$AO31)*$DB$3:$DB$42)+SUMPRODUCT(($CZ$3:$CZ$42=$AO34)*($DC$3:$DC$42=$AO32)*$DB$3:$DB$42)+SUMPRODUCT(($CZ$3:$CZ$42=$AO34)*($DC$3:$DC$42=$AO33)*$DB$3:$DB$42)+SUMPRODUCT(($CZ$3:$CZ$42=$AO35)*($DC$3:$DC$42=$AO34)*$DA$3:$DA$42)+SUMPRODUCT(($CZ$3:$CZ$42=$AO31)*($DC$3:$DC$42=$AO34)*$DA$3:$DA$42)+SUMPRODUCT(($CZ$3:$CZ$42=$AO32)*($DC$3:$DC$42=$AO34)*$DA$3:$DA$42)+SUMPRODUCT(($CZ$3:$CZ$42=$AO33)*($DC$3:$DC$42=$AO34)*$DA$3:$DA$42)</f>
        <v>0</v>
      </c>
      <c r="AU34" s="169">
        <f>AS34-AT34+1000</f>
        <v>1000</v>
      </c>
      <c r="AV34" s="169" t="str">
        <f>IF(AO34&lt;&gt;"",AP34*3+AQ34*1,"")</f>
        <v/>
      </c>
      <c r="AW34" s="169" t="str">
        <f>IF(AO34&lt;&gt;"",VLOOKUP(AO34,$B$4:$H$40,7,FALSE),"")</f>
        <v/>
      </c>
      <c r="AX34" s="169" t="str">
        <f>IF(AO34&lt;&gt;"",VLOOKUP(AO34,$B$4:$H$40,5,FALSE),"")</f>
        <v/>
      </c>
      <c r="AY34" s="169" t="str">
        <f>IF(AO34&lt;&gt;"",VLOOKUP(AO34,$B$4:$J$40,9,FALSE),"")</f>
        <v/>
      </c>
      <c r="AZ34" s="169" t="str">
        <f>AV34</f>
        <v/>
      </c>
      <c r="BA34" s="169" t="str">
        <f>IF(AO34&lt;&gt;"",RANK(AZ34,AZ$31:AZ$35),"")</f>
        <v/>
      </c>
      <c r="BB34" s="169" t="str">
        <f>IF(AO34&lt;&gt;"",SUMPRODUCT((AZ$31:AZ$35=AZ34)*(AU$31:AU$35&gt;AU34)),"")</f>
        <v/>
      </c>
      <c r="BC34" s="169" t="str">
        <f>IF(AO34&lt;&gt;"",SUMPRODUCT((AZ$31:AZ$35=AZ34)*(AU$31:AU$35=AU34)*(AS$31:AS$35&gt;AS34)),"")</f>
        <v/>
      </c>
      <c r="BD34" s="169" t="str">
        <f>IF(AO34&lt;&gt;"",SUMPRODUCT((AZ$31:AZ$35=AZ34)*(AU$31:AU$35=AU34)*(AS$31:AS$35=AS34)*(AW$31:AW$35&gt;AW34)),"")</f>
        <v/>
      </c>
      <c r="BE34" s="169" t="str">
        <f>IF(AO34&lt;&gt;"",SUMPRODUCT((AZ$31:AZ$35=AZ34)*(AU$31:AU$35=AU34)*(AS$31:AS$35=AS34)*(AW$31:AW$35=AW34)*(AX$31:AX$35&gt;AX34)),"")</f>
        <v/>
      </c>
      <c r="BF34" s="169" t="str">
        <f>IF(AO34&lt;&gt;"",SUMPRODUCT((AZ$31:AZ$35=AZ34)*(AU$31:AU$35=AU34)*(AS$31:AS$35=AS34)*(AW$31:AW$35=AW34)*(AX$31:AX$35=AX34)*(AY$31:AY$35&gt;AY34)),"")</f>
        <v/>
      </c>
      <c r="BG34" s="169" t="str">
        <f>IF(AO34&lt;&gt;"",SUM(BA34:BF34)+1,"")</f>
        <v/>
      </c>
      <c r="BH34" s="169" t="str">
        <f>IF(AO34&lt;&gt;"",INDEX(AO32:AO35,MATCH(4,BG32:BG35,0),0),"")</f>
        <v/>
      </c>
      <c r="BI34" s="169" t="str">
        <f>IF(R32&lt;&gt;"",R32,"")</f>
        <v/>
      </c>
      <c r="BJ34" s="169">
        <f>SUMPRODUCT(($CZ$3:$CZ$42=$BI34)*($DC$3:$DC$42=$BI35)*($DD$3:$DD$42="W"))+SUMPRODUCT(($CZ$3:$CZ$42=$BI34)*($DC$3:$DC$42=$BI36)*($DD$3:$DD$42="W"))+SUMPRODUCT(($CZ$3:$CZ$42=$BI34)*($DC$3:$DC$42=$BI33)*($DD$3:$DD$42="W"))+SUMPRODUCT(($CZ$3:$CZ$42=$BI35)*($DC$3:$DC$42=$BI34)*($DE$3:$DE$42="W"))+SUMPRODUCT(($CZ$3:$CZ$42=$BI36)*($DC$3:$DC$42=$BI34)*($DE$3:$DE$42="W"))+SUMPRODUCT(($CZ$3:$CZ$42=$BI33)*($DC$3:$DC$42=$BI34)*($DE$3:$DE$42="W"))</f>
        <v>0</v>
      </c>
      <c r="BK34" s="169">
        <f>SUMPRODUCT(($CZ$3:$CZ$42=$BI34)*($DC$3:$DC$42=$BI35)*($DD$3:$DD$42="D"))+SUMPRODUCT(($CZ$3:$CZ$42=$BI34)*($DC$3:$DC$42=$BI36)*($DD$3:$DD$42="D"))+SUMPRODUCT(($CZ$3:$CZ$42=$BI34)*($DC$3:$DC$42=$BI33)*($DD$3:$DD$42="D"))+SUMPRODUCT(($CZ$3:$CZ$42=$BI35)*($DC$3:$DC$42=$BI34)*($DD$3:$DD$42="D"))+SUMPRODUCT(($CZ$3:$CZ$42=$BI36)*($DC$3:$DC$42=$BI34)*($DD$3:$DD$42="D"))+SUMPRODUCT(($CZ$3:$CZ$42=$BI33)*($DC$3:$DC$42=$BI34)*($DD$3:$DD$42="D"))</f>
        <v>0</v>
      </c>
      <c r="BL34" s="169">
        <f>SUMPRODUCT(($CZ$3:$CZ$42=$BI34)*($DC$3:$DC$42=$BI35)*($DD$3:$DD$42="L"))+SUMPRODUCT(($CZ$3:$CZ$42=$BI34)*($DC$3:$DC$42=$BI36)*($DD$3:$DD$42="L"))+SUMPRODUCT(($CZ$3:$CZ$42=$BI34)*($DC$3:$DC$42=$BI33)*($DD$3:$DD$42="L"))+SUMPRODUCT(($CZ$3:$CZ$42=$BI35)*($DC$3:$DC$42=$BI34)*($DE$3:$DE$42="L"))+SUMPRODUCT(($CZ$3:$CZ$42=$BI36)*($DC$3:$DC$42=$BI34)*($DE$3:$DE$42="L"))+SUMPRODUCT(($CZ$3:$CZ$42=$BI33)*($DC$3:$DC$42=$BI34)*($DE$3:$DE$42="L"))</f>
        <v>0</v>
      </c>
      <c r="BM34" s="169">
        <f>SUMPRODUCT(($CZ$3:$CZ$42=$BI34)*($DC$3:$DC$42=$BI35)*$DA$3:$DA$42)+SUMPRODUCT(($CZ$3:$CZ$42=$BI34)*($DC$3:$DC$42=$BI31)*$DA$3:$DA$42)+SUMPRODUCT(($CZ$3:$CZ$42=$BI34)*($DC$3:$DC$42=$BI32)*$DA$3:$DA$42)+SUMPRODUCT(($CZ$3:$CZ$42=$BI34)*($DC$3:$DC$42=$BI33)*$DA$3:$DA$42)+SUMPRODUCT(($CZ$3:$CZ$42=$BI35)*($DC$3:$DC$42=$BI34)*$DB$3:$DB$42)+SUMPRODUCT(($CZ$3:$CZ$42=$BI31)*($DC$3:$DC$42=$BI34)*$DB$3:$DB$42)+SUMPRODUCT(($CZ$3:$CZ$42=$BI32)*($DC$3:$DC$42=$BI34)*$DB$3:$DB$42)+SUMPRODUCT(($CZ$3:$CZ$42=$BI33)*($DC$3:$DC$42=$BI34)*$DB$3:$DB$42)</f>
        <v>0</v>
      </c>
      <c r="BN34" s="169">
        <f>SUMPRODUCT(($CZ$3:$CZ$42=$BI34)*($DC$3:$DC$42=$BI35)*$DB$3:$DB$42)+SUMPRODUCT(($CZ$3:$CZ$42=$BI34)*($DC$3:$DC$42=$BI31)*$DB$3:$DB$42)+SUMPRODUCT(($CZ$3:$CZ$42=$BI34)*($DC$3:$DC$42=$BI32)*$DB$3:$DB$42)+SUMPRODUCT(($CZ$3:$CZ$42=$BI34)*($DC$3:$DC$42=$BI33)*$DB$3:$DB$42)+SUMPRODUCT(($CZ$3:$CZ$42=$BI35)*($DC$3:$DC$42=$BI34)*$DA$3:$DA$42)+SUMPRODUCT(($CZ$3:$CZ$42=$BI31)*($DC$3:$DC$42=$BI34)*$DA$3:$DA$42)+SUMPRODUCT(($CZ$3:$CZ$42=$BI32)*($DC$3:$DC$42=$BI34)*$DA$3:$DA$42)+SUMPRODUCT(($CZ$3:$CZ$42=$BI33)*($DC$3:$DC$42=$BI34)*$DA$3:$DA$42)</f>
        <v>0</v>
      </c>
      <c r="BO34" s="169">
        <f>BM34-BN34+1000</f>
        <v>1000</v>
      </c>
      <c r="BP34" s="169" t="str">
        <f>IF(BI34&lt;&gt;"",BJ34*3+BK34*1,"")</f>
        <v/>
      </c>
      <c r="BQ34" s="169" t="str">
        <f>IF(BI34&lt;&gt;"",VLOOKUP(BI34,$B$4:$H$40,7,FALSE),"")</f>
        <v/>
      </c>
      <c r="BR34" s="169" t="str">
        <f>IF(BI34&lt;&gt;"",VLOOKUP(BI34,$B$4:$H$40,5,FALSE),"")</f>
        <v/>
      </c>
      <c r="BS34" s="169" t="str">
        <f>IF(BI34&lt;&gt;"",VLOOKUP(BI34,$B$4:$J$40,9,FALSE),"")</f>
        <v/>
      </c>
      <c r="BT34" s="169" t="str">
        <f>BP34</f>
        <v/>
      </c>
      <c r="BU34" s="169" t="str">
        <f>IF(BI34&lt;&gt;"",RANK(BT34,$BT$32:$BT$35),"")</f>
        <v/>
      </c>
      <c r="BV34" s="169" t="str">
        <f>IF(BI34&lt;&gt;"",SUMPRODUCT((BT$31:BT$35=BT34)*(BO$31:BO$35&gt;BO34)),"")</f>
        <v/>
      </c>
      <c r="BW34" s="169" t="str">
        <f>IF(BI34&lt;&gt;"",SUMPRODUCT((BT$31:BT$35=BT34)*(BO$31:BO$35=BO34)*(BM$31:BM$35&gt;BM34)),"")</f>
        <v/>
      </c>
      <c r="BX34" s="169" t="str">
        <f>IF(BI34&lt;&gt;"",SUMPRODUCT((BT$31:BT$35=BT34)*(BO$31:BO$35=BO34)*(BM$31:BM$35=BM34)*(BQ$31:BQ$35&gt;BQ34)),"")</f>
        <v/>
      </c>
      <c r="BY34" s="169" t="str">
        <f>IF(BI34&lt;&gt;"",SUMPRODUCT((BT$31:BT$35=BT34)*(BO$31:BO$35=BO34)*(BM$31:BM$35=BM34)*(BQ$31:BQ$35=BQ34)*(BR$31:BR$35&gt;BR34)),"")</f>
        <v/>
      </c>
      <c r="BZ34" s="169" t="str">
        <f>IF(BI34&lt;&gt;"",SUMPRODUCT((BT$31:BT$35=BT34)*(BO$31:BO$35=BO34)*(BM$31:BM$35=BM34)*(BQ$31:BQ$35=BQ34)*(BR$31:BR$35=BR34)*(BS$31:BS$35&gt;BS34)),"")</f>
        <v/>
      </c>
      <c r="CA34" s="169" t="str">
        <f>IF(BI34&lt;&gt;"",SUM(BU34:BZ34)+2,"")</f>
        <v/>
      </c>
      <c r="CB34" s="169" t="str">
        <f>IF(BI34&lt;&gt;"",INDEX(BI33:BI35,MATCH(4,CA33:CA35,0),0),"")</f>
        <v/>
      </c>
      <c r="CC34" s="169" t="str">
        <f>IF(S31&lt;&gt;"",S31,"")</f>
        <v/>
      </c>
      <c r="CD34" s="169">
        <f>SUMPRODUCT(($CZ$3:$CZ$42=$U34)*($DC$3:$DC$42=$U35)*($DD$3:$DD$42="W"))+SUMPRODUCT(($CZ$3:$CZ$42=$U34)*($DC$3:$DC$42=$U31)*($DD$3:$DD$42="W"))+SUMPRODUCT(($CZ$3:$CZ$42=$U34)*($DC$3:$DC$42=$U32)*($DD$3:$DD$42="W"))+SUMPRODUCT(($CZ$3:$CZ$42=$U34)*($DC$3:$DC$42=$U33)*($DD$3:$DD$42="W"))+SUMPRODUCT(($CZ$3:$CZ$42=$U35)*($DC$3:$DC$42=$U34)*($DE$3:$DE$42="W"))+SUMPRODUCT(($CZ$3:$CZ$42=$U31)*($DC$3:$DC$42=$U34)*($DE$3:$DE$42="W"))+SUMPRODUCT(($CZ$3:$CZ$42=$U32)*($DC$3:$DC$42=$U34)*($DE$3:$DE$42="W"))+SUMPRODUCT(($CZ$3:$CZ$42=$U33)*($DC$3:$DC$42=$U34)*($DE$3:$DE$42="W"))</f>
        <v>0</v>
      </c>
      <c r="CE34" s="169">
        <f>SUMPRODUCT(($CZ$3:$CZ$42=$U34)*($DC$3:$DC$42=$U35)*($DD$3:$DD$42="D"))+SUMPRODUCT(($CZ$3:$CZ$42=$U34)*($DC$3:$DC$42=$U31)*($DD$3:$DD$42="D"))+SUMPRODUCT(($CZ$3:$CZ$42=$U34)*($DC$3:$DC$42=$U32)*($DD$3:$DD$42="D"))+SUMPRODUCT(($CZ$3:$CZ$42=$U34)*($DC$3:$DC$42=$U33)*($DD$3:$DD$42="D"))+SUMPRODUCT(($CZ$3:$CZ$42=$U35)*($DC$3:$DC$42=$U34)*($DD$3:$DD$42="D"))+SUMPRODUCT(($CZ$3:$CZ$42=$U31)*($DC$3:$DC$42=$U34)*($DD$3:$DD$42="D"))+SUMPRODUCT(($CZ$3:$CZ$42=$U32)*($DC$3:$DC$42=$U34)*($DD$3:$DD$42="D"))+SUMPRODUCT(($CZ$3:$CZ$42=$U33)*($DC$3:$DC$42=$U34)*($DD$3:$DD$42="D"))</f>
        <v>0</v>
      </c>
      <c r="CF34" s="169">
        <f>SUMPRODUCT(($CZ$3:$CZ$42=$U34)*($DC$3:$DC$42=$U35)*($DD$3:$DD$42="L"))+SUMPRODUCT(($CZ$3:$CZ$42=$U34)*($DC$3:$DC$42=$U31)*($DD$3:$DD$42="L"))+SUMPRODUCT(($CZ$3:$CZ$42=$U34)*($DC$3:$DC$42=$U32)*($DD$3:$DD$42="L"))+SUMPRODUCT(($CZ$3:$CZ$42=$U34)*($DC$3:$DC$42=$U33)*($DD$3:$DD$42="L"))+SUMPRODUCT(($CZ$3:$CZ$42=$U35)*($DC$3:$DC$42=$U34)*($DE$3:$DE$42="L"))+SUMPRODUCT(($CZ$3:$CZ$42=$U31)*($DC$3:$DC$42=$U34)*($DE$3:$DE$42="L"))+SUMPRODUCT(($CZ$3:$CZ$42=$U32)*($DC$3:$DC$42=$U34)*($DE$3:$DE$42="L"))+SUMPRODUCT(($CZ$3:$CZ$42=$U33)*($DC$3:$DC$42=$U34)*($DE$3:$DE$42="L"))</f>
        <v>0</v>
      </c>
      <c r="CG34" s="169">
        <f>SUMPRODUCT(($CZ$3:$CZ$42=$CC34)*($DC$3:$DC$42=$CC35)*$DA$3:$DA$42)+SUMPRODUCT(($CZ$3:$CZ$42=$CC34)*($DC$3:$DC$42=$CC31)*$DA$3:$DA$42)+SUMPRODUCT(($CZ$3:$CZ$42=$CC34)*($DC$3:$DC$42=$CC32)*$DA$3:$DA$42)+SUMPRODUCT(($CZ$3:$CZ$42=$CC34)*($DC$3:$DC$42=$CC33)*$DA$3:$DA$42)+SUMPRODUCT(($CZ$3:$CZ$42=$CC35)*($DC$3:$DC$42=$CC34)*$DB$3:$DB$42)+SUMPRODUCT(($CZ$3:$CZ$42=$CC31)*($DC$3:$DC$42=$CC34)*$DB$3:$DB$42)+SUMPRODUCT(($CZ$3:$CZ$42=$CC32)*($DC$3:$DC$42=$CC34)*$DB$3:$DB$42)+SUMPRODUCT(($CZ$3:$CZ$42=$CC33)*($DC$3:$DC$42=$CC34)*$DB$3:$DB$42)</f>
        <v>0</v>
      </c>
      <c r="CH34" s="169">
        <f>SUMPRODUCT(($CZ$3:$CZ$42=$CC34)*($DC$3:$DC$42=$CC35)*$DB$3:$DB$42)+SUMPRODUCT(($CZ$3:$CZ$42=$CC34)*($DC$3:$DC$42=$CC31)*$DB$3:$DB$42)+SUMPRODUCT(($CZ$3:$CZ$42=$CC34)*($DC$3:$DC$42=$CC32)*$DB$3:$DB$42)+SUMPRODUCT(($CZ$3:$CZ$42=$CC34)*($DC$3:$DC$42=$CC33)*$DB$3:$DB$42)+SUMPRODUCT(($CZ$3:$CZ$42=$CC35)*($DC$3:$DC$42=$CC34)*$DA$3:$DA$42)+SUMPRODUCT(($CZ$3:$CZ$42=$CC31)*($DC$3:$DC$42=$CC34)*$DA$3:$DA$42)+SUMPRODUCT(($CZ$3:$CZ$42=$CC32)*($DC$3:$DC$42=$CC34)*$DA$3:$DA$42)+SUMPRODUCT(($CZ$3:$CZ$42=$CC33)*($DC$3:$DC$42=$CC34)*$DA$3:$DA$42)</f>
        <v>0</v>
      </c>
      <c r="CI34" s="169">
        <f>CG34-CH34+1000</f>
        <v>1000</v>
      </c>
      <c r="CJ34" s="169" t="str">
        <f>IF(CC34&lt;&gt;"",CD34*3+CE34*1,"")</f>
        <v/>
      </c>
      <c r="CK34" s="169" t="str">
        <f>IF(CC34&lt;&gt;"",VLOOKUP(CC34,$B$4:$H$40,7,FALSE),"")</f>
        <v/>
      </c>
      <c r="CL34" s="169" t="str">
        <f>IF(CC34&lt;&gt;"",VLOOKUP(CC34,$B$4:$H$40,5,FALSE),"")</f>
        <v/>
      </c>
      <c r="CM34" s="169" t="str">
        <f>IF(CC34&lt;&gt;"",VLOOKUP(CC34,$B$4:$J$40,9,FALSE),"")</f>
        <v/>
      </c>
      <c r="CN34" s="169" t="str">
        <f>CJ34</f>
        <v/>
      </c>
      <c r="CO34" s="169" t="str">
        <f>IF(CC34&lt;&gt;"",RANK(CN34,$AF$31:$AF$35),"")</f>
        <v/>
      </c>
      <c r="CP34" s="169" t="str">
        <f>IF(CC34&lt;&gt;"",SUMPRODUCT((CN$31:CN$35=CN34)*(CI$31:CI$35&gt;CI34)),"")</f>
        <v/>
      </c>
      <c r="CQ34" s="169" t="str">
        <f>IF(CC34&lt;&gt;"",SUMPRODUCT((CN$31:CN$35=CN34)*(CI$31:CI$35=CI34)*(CG$31:CG$35&gt;CG34)),"")</f>
        <v/>
      </c>
      <c r="CR34" s="169" t="str">
        <f>IF(CC34&lt;&gt;"",SUMPRODUCT((CN$31:CN$35=CN34)*(CI$31:CI$35=CI34)*(CG$31:CG$35=CG34)*(CK$31:CK$35&gt;CK34)),"")</f>
        <v/>
      </c>
      <c r="CS34" s="169" t="str">
        <f>IF(CC34&lt;&gt;"",SUMPRODUCT((CN$31:CN$35=CN34)*(CI$31:CI$35=CI34)*(CG$31:CG$35=CG34)*(CK$31:CK$35=CK34)*(CL$31:CL$35&gt;CL34)),"")</f>
        <v/>
      </c>
      <c r="CT34" s="169" t="str">
        <f>IF(CC34&lt;&gt;"",SUMPRODUCT((CN$31:CN$35=CN34)*(CI$31:CI$35=CI34)*(CG$31:CG$35=CG34)*(CK$31:CK$35=CK34)*(CL$31:CL$35=CL34)*(CM$31:CM$35&gt;CM34)),"")</f>
        <v/>
      </c>
      <c r="CU34" s="169" t="str">
        <f>IF(CC34&lt;&gt;"",SUM(CO34:CT34)+3,"")</f>
        <v/>
      </c>
      <c r="CV34" s="169" t="str">
        <f>IF(CC34&lt;&gt;"",INDEX($U$31:$U$35,MATCH(1,$AM$31:$AM$35,0),0),"")</f>
        <v/>
      </c>
      <c r="CW34" s="169" t="str">
        <f>IF(CV34&lt;&gt;"",CV34,IF(CB34&lt;&gt;"",CB34,IF(BH34&lt;&gt;"",BH34,IF(AN34&lt;&gt;"",AN34,N34))))</f>
        <v>Schweden</v>
      </c>
      <c r="CX34" s="169">
        <v>4</v>
      </c>
      <c r="CY34" s="169">
        <v>32</v>
      </c>
      <c r="CZ34" s="169" t="str">
        <f>Tournament!H44</f>
        <v>Kroatien</v>
      </c>
      <c r="DA34" s="169">
        <f>IF(AND(Tournament!J44&lt;&gt;"",Tournament!L44&lt;&gt;""),Tournament!J44,0)</f>
        <v>2</v>
      </c>
      <c r="DB34" s="169">
        <f>IF(AND(Tournament!L44&lt;&gt;"",Tournament!J44&lt;&gt;""),Tournament!L44,0)</f>
        <v>1</v>
      </c>
      <c r="DC34" s="169" t="str">
        <f>Tournament!N44</f>
        <v>Spanien</v>
      </c>
      <c r="DD34" s="169" t="str">
        <f>IF(AND(Tournament!J44&lt;&gt;"",Tournament!L44&lt;&gt;""),IF(DA34&gt;DB34,"W",IF(DA34=DB34,"D","L")),"")</f>
        <v>W</v>
      </c>
      <c r="DE34" s="169" t="str">
        <f t="shared" si="6"/>
        <v>L</v>
      </c>
    </row>
    <row r="35" spans="1:109" x14ac:dyDescent="0.2">
      <c r="CY35" s="169">
        <v>33</v>
      </c>
      <c r="CZ35" s="169" t="str">
        <f>Tournament!H45</f>
        <v>Island</v>
      </c>
      <c r="DA35" s="169">
        <f>IF(AND(Tournament!J45&lt;&gt;"",Tournament!L45&lt;&gt;""),Tournament!J45,0)</f>
        <v>2</v>
      </c>
      <c r="DB35" s="169">
        <f>IF(AND(Tournament!L45&lt;&gt;"",Tournament!J45&lt;&gt;""),Tournament!L45,0)</f>
        <v>1</v>
      </c>
      <c r="DC35" s="169" t="str">
        <f>Tournament!N45</f>
        <v>Österreich</v>
      </c>
      <c r="DD35" s="169" t="str">
        <f>IF(AND(Tournament!J45&lt;&gt;"",Tournament!L45&lt;&gt;""),IF(DA35&gt;DB35,"W",IF(DA35=DB35,"D","L")),"")</f>
        <v>W</v>
      </c>
      <c r="DE35" s="169" t="str">
        <f t="shared" si="6"/>
        <v>L</v>
      </c>
    </row>
    <row r="36" spans="1:109" x14ac:dyDescent="0.2">
      <c r="CY36" s="169">
        <v>34</v>
      </c>
      <c r="CZ36" s="169" t="str">
        <f>Tournament!H46</f>
        <v>Ungarn</v>
      </c>
      <c r="DA36" s="169">
        <f>IF(AND(Tournament!J46&lt;&gt;"",Tournament!L46&lt;&gt;""),Tournament!J46,0)</f>
        <v>3</v>
      </c>
      <c r="DB36" s="169">
        <f>IF(AND(Tournament!L46&lt;&gt;"",Tournament!J46&lt;&gt;""),Tournament!L46,0)</f>
        <v>3</v>
      </c>
      <c r="DC36" s="169" t="str">
        <f>Tournament!N46</f>
        <v>Portugal</v>
      </c>
      <c r="DD36" s="169" t="str">
        <f>IF(AND(Tournament!J46&lt;&gt;"",Tournament!L46&lt;&gt;""),IF(DA36&gt;DB36,"W",IF(DA36=DB36,"D","L")),"")</f>
        <v>D</v>
      </c>
      <c r="DE36" s="169" t="str">
        <f t="shared" si="6"/>
        <v>D</v>
      </c>
    </row>
    <row r="37" spans="1:109" x14ac:dyDescent="0.2">
      <c r="A37" s="169">
        <f>IF(CC42="A",VLOOKUP(B37,$CW$37:$CX$41,2,FALSE),4)</f>
        <v>3</v>
      </c>
      <c r="B37" s="169" t="str">
        <f>'Countries and Timezone'!C27</f>
        <v>Portugal</v>
      </c>
      <c r="C37" s="169">
        <f>SUMPRODUCT(($CZ$3:$CZ$42=$B37)*($DD$3:$DD$42="W"))+SUMPRODUCT(($DC$3:$DC$42=$B37)*($DE$3:$DE$42="W"))</f>
        <v>0</v>
      </c>
      <c r="D37" s="169">
        <f>SUMPRODUCT(($CZ$3:$CZ$42=$B37)*($DD$3:$DD$42="D"))+SUMPRODUCT(($DC$3:$DC$42=$B37)*($DE$3:$DE$42="D"))</f>
        <v>3</v>
      </c>
      <c r="E37" s="169">
        <f>SUMPRODUCT(($CZ$3:$CZ$42=$B37)*($DD$3:$DD$42="L"))+SUMPRODUCT(($DC$3:$DC$42=$B37)*($DE$3:$DE$42="L"))</f>
        <v>0</v>
      </c>
      <c r="F37" s="169">
        <f>SUMIF($CZ$3:$CZ$60,B37,$DA$3:$DA$60)+SUMIF($DC$3:$DC$60,B37,$DB$3:$DB$60)</f>
        <v>4</v>
      </c>
      <c r="G37" s="169">
        <f>SUMIF($DC$3:$DC$60,B37,$DA$3:$DA$60)+SUMIF($CZ$3:$CZ$60,B37,$DB$3:$DB$60)</f>
        <v>4</v>
      </c>
      <c r="H37" s="169">
        <f>F37-G37+1000</f>
        <v>1000</v>
      </c>
      <c r="I37" s="169">
        <f>C37*3+D37*1</f>
        <v>3</v>
      </c>
      <c r="J37" s="169">
        <v>110</v>
      </c>
      <c r="K37" s="169">
        <f>RANK(I37,I$37:I$41)</f>
        <v>3</v>
      </c>
      <c r="M37" s="169">
        <f>RANK(I37,$I$37:$I$41)+COUNTIF($I$37:I37,I37)-1</f>
        <v>3</v>
      </c>
      <c r="N37" s="169" t="str">
        <f>INDEX($B$37:$B$41,MATCH(1,$M$37:$M$41,0),0)</f>
        <v>Island</v>
      </c>
      <c r="O37" s="169">
        <f>INDEX($K$37:$K$41,MATCH(N37,$B$37:$B$41,0),0)</f>
        <v>1</v>
      </c>
      <c r="P37" s="169" t="str">
        <f>IF(O38=1,N37,"")</f>
        <v>Island</v>
      </c>
      <c r="Q37" s="169" t="str">
        <f>IF(O39=2,N38,"")</f>
        <v/>
      </c>
      <c r="R37" s="169" t="str">
        <f>IF(O40=3,N39,"")</f>
        <v/>
      </c>
      <c r="S37" s="169" t="str">
        <f>IF(O41=4,N40,"")</f>
        <v/>
      </c>
      <c r="U37" s="169" t="str">
        <f>IF(P37&lt;&gt;"",P37,"")</f>
        <v>Island</v>
      </c>
      <c r="V37" s="169">
        <f>SUMPRODUCT(($CZ$3:$CZ$42=$U37)*($DC$3:$DC$42=$U38)*($DD$3:$DD$42="W"))+SUMPRODUCT(($CZ$3:$CZ$42=$U37)*($DC$3:$DC$42=$U39)*($DD$3:$DD$42="W"))+SUMPRODUCT(($CZ$3:$CZ$42=$U37)*($DC$3:$DC$42=$U40)*($DD$3:$DD$42="W"))+SUMPRODUCT(($CZ$3:$CZ$42=$U37)*($DC$3:$DC$42=$U41)*($DD$3:$DD$42="W"))+SUMPRODUCT(($CZ$3:$CZ$42=$U38)*($DC$3:$DC$42=$U37)*($DE$3:$DE$42="W"))+SUMPRODUCT(($CZ$3:$CZ$42=$U39)*($DC$3:$DC$42=$U37)*($DE$3:$DE$42="W"))+SUMPRODUCT(($CZ$3:$CZ$42=$U40)*($DC$3:$DC$42=$U37)*($DE$3:$DE$42="W"))+SUMPRODUCT(($CZ$3:$CZ$42=$U41)*($DC$3:$DC$42=$U37)*($DE$3:$DE$42="W"))</f>
        <v>0</v>
      </c>
      <c r="W37" s="169">
        <f>SUMPRODUCT(($CZ$3:$CZ$42=$U37)*($DC$3:$DC$42=$U38)*($DD$3:$DD$42="D"))+SUMPRODUCT(($CZ$3:$CZ$42=$U37)*($DC$3:$DC$42=$U39)*($DD$3:$DD$42="D"))+SUMPRODUCT(($CZ$3:$CZ$42=$U37)*($DC$3:$DC$42=$U40)*($DD$3:$DD$42="D"))+SUMPRODUCT(($CZ$3:$CZ$42=$U37)*($DC$3:$DC$42=$U41)*($DD$3:$DD$42="D"))+SUMPRODUCT(($CZ$3:$CZ$42=$U38)*($DC$3:$DC$42=$U37)*($DD$3:$DD$42="D"))+SUMPRODUCT(($CZ$3:$CZ$42=$U39)*($DC$3:$DC$42=$U37)*($DD$3:$DD$42="D"))+SUMPRODUCT(($CZ$3:$CZ$42=$U40)*($DC$3:$DC$42=$U37)*($DD$3:$DD$42="D"))+SUMPRODUCT(($CZ$3:$CZ$42=$U41)*($DC$3:$DC$42=$U37)*($DD$3:$DD$42="D"))</f>
        <v>1</v>
      </c>
      <c r="X37" s="169">
        <f>SUMPRODUCT(($CZ$3:$CZ$42=$U37)*($DC$3:$DC$42=$U38)*($DD$3:$DD$42="L"))+SUMPRODUCT(($CZ$3:$CZ$42=$U37)*($DC$3:$DC$42=$U39)*($DD$3:$DD$42="L"))+SUMPRODUCT(($CZ$3:$CZ$42=$U37)*($DC$3:$DC$42=$U40)*($DD$3:$DD$42="L"))+SUMPRODUCT(($CZ$3:$CZ$42=$U37)*($DC$3:$DC$42=$U41)*($DD$3:$DD$42="L"))+SUMPRODUCT(($CZ$3:$CZ$42=$U38)*($DC$3:$DC$42=$U37)*($DE$3:$DE$42="L"))+SUMPRODUCT(($CZ$3:$CZ$42=$U39)*($DC$3:$DC$42=$U37)*($DE$3:$DE$42="L"))+SUMPRODUCT(($CZ$3:$CZ$42=$U40)*($DC$3:$DC$42=$U37)*($DE$3:$DE$42="L"))+SUMPRODUCT(($CZ$3:$CZ$42=$U41)*($DC$3:$DC$42=$U37)*($DE$3:$DE$42="L"))</f>
        <v>0</v>
      </c>
      <c r="Y37" s="169">
        <f>SUMPRODUCT(($CZ$3:$CZ$42=$U37)*($DC$3:$DC$42=$U38)*$DA$3:$DA$42)+SUMPRODUCT(($CZ$3:$CZ$42=$U37)*($DC$3:$DC$42=$U39)*$DA$3:$DA$42)+SUMPRODUCT(($CZ$3:$CZ$42=$U37)*($DC$3:$DC$42=$U40)*$DA$3:$DA$42)+SUMPRODUCT(($CZ$3:$CZ$42=$U37)*($DC$3:$DC$42=$U41)*$DA$3:$DA$42)+SUMPRODUCT(($CZ$3:$CZ$42=$U38)*($DC$3:$DC$42=$U37)*$DB$3:$DB$42)+SUMPRODUCT(($CZ$3:$CZ$42=$U39)*($DC$3:$DC$42=$U37)*$DB$3:$DB$42)+SUMPRODUCT(($CZ$3:$CZ$42=$U40)*($DC$3:$DC$42=$U37)*$DB$3:$DB$42)+SUMPRODUCT(($CZ$3:$CZ$42=$U41)*($DC$3:$DC$42=$U37)*$DB$3:$DB$42)</f>
        <v>1</v>
      </c>
      <c r="Z37" s="169">
        <f>SUMPRODUCT(($CZ$3:$CZ$42=$U37)*($DC$3:$DC$42=$U38)*$DB$3:$DB$42)+SUMPRODUCT(($CZ$3:$CZ$42=$U37)*($DC$3:$DC$42=$U39)*$DB$3:$DB$42)+SUMPRODUCT(($CZ$3:$CZ$42=$U37)*($DC$3:$DC$42=$U40)*$DB$3:$DB$42)+SUMPRODUCT(($CZ$3:$CZ$42=$U37)*($DC$3:$DC$42=$U41)*$DB$3:$DB$42)+SUMPRODUCT(($CZ$3:$CZ$42=$U38)*($DC$3:$DC$42=$U37)*$DA$3:$DA$42)+SUMPRODUCT(($CZ$3:$CZ$42=$U39)*($DC$3:$DC$42=$U37)*$DA$3:$DA$42)+SUMPRODUCT(($CZ$3:$CZ$42=$U40)*($DC$3:$DC$42=$U37)*$DA$3:$DA$42)+SUMPRODUCT(($CZ$3:$CZ$42=$U41)*($DC$3:$DC$42=$U37)*$DA$3:$DA$42)</f>
        <v>1</v>
      </c>
      <c r="AA37" s="169">
        <f>Y37-Z37+1000</f>
        <v>1000</v>
      </c>
      <c r="AB37" s="169">
        <f>IF(U37&lt;&gt;"",V37*3+W37*1,"")</f>
        <v>1</v>
      </c>
      <c r="AC37" s="169">
        <f>IF(U37&lt;&gt;"",VLOOKUP(U37,$B$4:$H$40,7,FALSE),"")</f>
        <v>1001</v>
      </c>
      <c r="AD37" s="169">
        <f>IF(U37&lt;&gt;"",VLOOKUP(U37,$B$4:$H$40,5,FALSE),"")</f>
        <v>4</v>
      </c>
      <c r="AE37" s="169">
        <f>IF(U37&lt;&gt;"",VLOOKUP(U37,$B$4:$J$40,9,FALSE),"")</f>
        <v>111</v>
      </c>
      <c r="AF37" s="169">
        <f>AB37</f>
        <v>1</v>
      </c>
      <c r="AG37" s="169">
        <f>IF(U37&lt;&gt;"",RANK(AF37,$AF$37:$AF$41),"")</f>
        <v>1</v>
      </c>
      <c r="AH37" s="169">
        <f>IF(U37&lt;&gt;"",SUMPRODUCT((AF$37:AF$41=AF37)*(AA$37:AA$41&gt;AA37)),"")</f>
        <v>0</v>
      </c>
      <c r="AI37" s="169">
        <f>IF(U37&lt;&gt;"",SUMPRODUCT((AF$37:AF$41=AF37)*(AA$37:AA$41=AA37)*(Y$37:Y$41&gt;Y37)),"")</f>
        <v>0</v>
      </c>
      <c r="AJ37" s="169">
        <f>IF(U37&lt;&gt;"",SUMPRODUCT((AF$37:AF$41=AF37)*(AA$37:AA$41=AA37)*(Y$37:Y$41=Y37)*(AC$37:AC$41&gt;AC37)),"")</f>
        <v>1</v>
      </c>
      <c r="AK37" s="169">
        <f>IF(U37&lt;&gt;"",SUMPRODUCT((AF$37:AF$41=AF37)*(AA$37:AA$41=AA37)*(Y$37:Y$41=Y37)*(AC$37:AC$41=AC37)*(AD$37:AD$41&gt;AD37)),"")</f>
        <v>0</v>
      </c>
      <c r="AL37" s="169">
        <f>IF(U37&lt;&gt;"",SUMPRODUCT((AF$37:AF$41=AF37)*(AA$37:AA$41=AA37)*(Y$37:Y$41=Y37)*(AC$37:AC$41=AC37)*(AD$37:AD$41=AD37)*(AE$37:AE$41&gt;AE37)),"")</f>
        <v>0</v>
      </c>
      <c r="AM37" s="169">
        <f>IF(U37&lt;&gt;"",SUM(AG37:AL37),"")</f>
        <v>2</v>
      </c>
      <c r="AN37" s="169" t="str">
        <f>IF(U37&lt;&gt;"",INDEX($U$37:$U$41,MATCH(1,$AM$37:$AM$41,0),0),"")</f>
        <v>Ungarn</v>
      </c>
      <c r="CW37" s="169" t="str">
        <f>IF(AN37&lt;&gt;"",AN37,N37)</f>
        <v>Ungarn</v>
      </c>
      <c r="CX37" s="169">
        <v>1</v>
      </c>
      <c r="CY37" s="169">
        <v>35</v>
      </c>
      <c r="CZ37" s="169" t="str">
        <f>Tournament!H47</f>
        <v>Italien</v>
      </c>
      <c r="DA37" s="169">
        <f>IF(AND(Tournament!J47&lt;&gt;"",Tournament!L47&lt;&gt;""),Tournament!J47,0)</f>
        <v>0</v>
      </c>
      <c r="DB37" s="169">
        <f>IF(AND(Tournament!L47&lt;&gt;"",Tournament!J47&lt;&gt;""),Tournament!L47,0)</f>
        <v>1</v>
      </c>
      <c r="DC37" s="169" t="str">
        <f>Tournament!N47</f>
        <v>Irische Republik</v>
      </c>
      <c r="DD37" s="169" t="str">
        <f>IF(AND(Tournament!J47&lt;&gt;"",Tournament!L47&lt;&gt;""),IF(DA37&gt;DB37,"W",IF(DA37=DB37,"D","L")),"")</f>
        <v>L</v>
      </c>
      <c r="DE37" s="169" t="str">
        <f t="shared" si="6"/>
        <v>W</v>
      </c>
    </row>
    <row r="38" spans="1:109" x14ac:dyDescent="0.2">
      <c r="A38" s="169">
        <f>VLOOKUP(B38,$CW$37:$CX$41,2,FALSE)</f>
        <v>2</v>
      </c>
      <c r="B38" s="169" t="str">
        <f>'Countries and Timezone'!C28</f>
        <v>Island</v>
      </c>
      <c r="C38" s="169">
        <f>SUMPRODUCT(($CZ$3:$CZ$42=$B38)*($DD$3:$DD$42="W"))+SUMPRODUCT(($DC$3:$DC$42=$B38)*($DE$3:$DE$42="W"))</f>
        <v>1</v>
      </c>
      <c r="D38" s="169">
        <f>SUMPRODUCT(($CZ$3:$CZ$42=$B38)*($DD$3:$DD$42="D"))+SUMPRODUCT(($DC$3:$DC$42=$B38)*($DE$3:$DE$42="D"))</f>
        <v>2</v>
      </c>
      <c r="E38" s="169">
        <f>SUMPRODUCT(($CZ$3:$CZ$42=$B38)*($DD$3:$DD$42="L"))+SUMPRODUCT(($DC$3:$DC$42=$B38)*($DE$3:$DE$42="L"))</f>
        <v>0</v>
      </c>
      <c r="F38" s="169">
        <f>SUMIF($CZ$3:$CZ$60,B38,$DA$3:$DA$60)+SUMIF($DC$3:$DC$60,B38,$DB$3:$DB$60)</f>
        <v>4</v>
      </c>
      <c r="G38" s="169">
        <f>SUMIF($DC$3:$DC$60,B38,$DA$3:$DA$60)+SUMIF($CZ$3:$CZ$60,B38,$DB$3:$DB$60)</f>
        <v>3</v>
      </c>
      <c r="H38" s="169">
        <f>F38-G38+1000</f>
        <v>1001</v>
      </c>
      <c r="I38" s="169">
        <f>C38*3+D38*1</f>
        <v>5</v>
      </c>
      <c r="J38" s="169">
        <v>111</v>
      </c>
      <c r="K38" s="169">
        <f>RANK(I38,I$37:I$41)</f>
        <v>1</v>
      </c>
      <c r="M38" s="169">
        <f>RANK(I38,$I$37:$I$41)+COUNTIF($I$37:I38,I38)-1</f>
        <v>1</v>
      </c>
      <c r="N38" s="169" t="str">
        <f>INDEX($B$37:$B$41,MATCH(2,$M$37:$M$41,0),0)</f>
        <v>Ungarn</v>
      </c>
      <c r="O38" s="169">
        <f>INDEX($K$37:$K$41,MATCH(N38,$B$37:$B$41,0),0)</f>
        <v>1</v>
      </c>
      <c r="P38" s="169" t="str">
        <f>IF(P37&lt;&gt;"",N38,"")</f>
        <v>Ungarn</v>
      </c>
      <c r="Q38" s="169" t="str">
        <f>IF(Q37&lt;&gt;"",N39,"")</f>
        <v/>
      </c>
      <c r="R38" s="169" t="str">
        <f>IF(R37&lt;&gt;"",N40,"")</f>
        <v/>
      </c>
      <c r="S38" s="169" t="str">
        <f>IF(S37&lt;&gt;"",N41,"")</f>
        <v/>
      </c>
      <c r="U38" s="169" t="str">
        <f>IF(P38&lt;&gt;"",P38,"")</f>
        <v>Ungarn</v>
      </c>
      <c r="V38" s="169">
        <f>SUMPRODUCT(($CZ$3:$CZ$42=$U38)*($DC$3:$DC$42=$U39)*($DD$3:$DD$42="W"))+SUMPRODUCT(($CZ$3:$CZ$42=$U38)*($DC$3:$DC$42=$U40)*($DD$3:$DD$42="W"))+SUMPRODUCT(($CZ$3:$CZ$42=$U38)*($DC$3:$DC$42=$U41)*($DD$3:$DD$42="W"))+SUMPRODUCT(($CZ$3:$CZ$42=$U38)*($DC$3:$DC$42=$U37)*($DD$3:$DD$42="W"))+SUMPRODUCT(($CZ$3:$CZ$42=$U39)*($DC$3:$DC$42=$U38)*($DE$3:$DE$42="W"))+SUMPRODUCT(($CZ$3:$CZ$42=$U40)*($DC$3:$DC$42=$U38)*($DE$3:$DE$42="W"))+SUMPRODUCT(($CZ$3:$CZ$42=$U41)*($DC$3:$DC$42=$U38)*($DE$3:$DE$42="W"))+SUMPRODUCT(($CZ$3:$CZ$42=$U37)*($DC$3:$DC$42=$U38)*($DE$3:$DE$42="W"))</f>
        <v>0</v>
      </c>
      <c r="W38" s="169">
        <f>SUMPRODUCT(($CZ$3:$CZ$42=$U38)*($DC$3:$DC$42=$U39)*($DD$3:$DD$42="D"))+SUMPRODUCT(($CZ$3:$CZ$42=$U38)*($DC$3:$DC$42=$U40)*($DD$3:$DD$42="D"))+SUMPRODUCT(($CZ$3:$CZ$42=$U38)*($DC$3:$DC$42=$U41)*($DD$3:$DD$42="D"))+SUMPRODUCT(($CZ$3:$CZ$42=$U38)*($DC$3:$DC$42=$U37)*($DD$3:$DD$42="D"))+SUMPRODUCT(($CZ$3:$CZ$42=$U39)*($DC$3:$DC$42=$U38)*($DD$3:$DD$42="D"))+SUMPRODUCT(($CZ$3:$CZ$42=$U40)*($DC$3:$DC$42=$U38)*($DD$3:$DD$42="D"))+SUMPRODUCT(($CZ$3:$CZ$42=$U41)*($DC$3:$DC$42=$U38)*($DD$3:$DD$42="D"))+SUMPRODUCT(($CZ$3:$CZ$42=$U37)*($DC$3:$DC$42=$U38)*($DD$3:$DD$42="D"))</f>
        <v>1</v>
      </c>
      <c r="X38" s="169">
        <f>SUMPRODUCT(($CZ$3:$CZ$42=$U38)*($DC$3:$DC$42=$U39)*($DD$3:$DD$42="L"))+SUMPRODUCT(($CZ$3:$CZ$42=$U38)*($DC$3:$DC$42=$U40)*($DD$3:$DD$42="L"))+SUMPRODUCT(($CZ$3:$CZ$42=$U38)*($DC$3:$DC$42=$U41)*($DD$3:$DD$42="L"))+SUMPRODUCT(($CZ$3:$CZ$42=$U38)*($DC$3:$DC$42=$U37)*($DD$3:$DD$42="L"))+SUMPRODUCT(($CZ$3:$CZ$42=$U39)*($DC$3:$DC$42=$U38)*($DE$3:$DE$42="L"))+SUMPRODUCT(($CZ$3:$CZ$42=$U40)*($DC$3:$DC$42=$U38)*($DE$3:$DE$42="L"))+SUMPRODUCT(($CZ$3:$CZ$42=$U41)*($DC$3:$DC$42=$U38)*($DE$3:$DE$42="L"))+SUMPRODUCT(($CZ$3:$CZ$42=$U37)*($DC$3:$DC$42=$U38)*($DE$3:$DE$42="L"))</f>
        <v>0</v>
      </c>
      <c r="Y38" s="169">
        <f>SUMPRODUCT(($CZ$3:$CZ$42=$U38)*($DC$3:$DC$42=$U39)*$DA$3:$DA$42)+SUMPRODUCT(($CZ$3:$CZ$42=$U38)*($DC$3:$DC$42=$U40)*$DA$3:$DA$42)+SUMPRODUCT(($CZ$3:$CZ$42=$U38)*($DC$3:$DC$42=$U41)*$DA$3:$DA$42)+SUMPRODUCT(($CZ$3:$CZ$42=$U38)*($DC$3:$DC$42=$U37)*$DA$3:$DA$42)+SUMPRODUCT(($CZ$3:$CZ$42=$U39)*($DC$3:$DC$42=$U38)*$DB$3:$DB$42)+SUMPRODUCT(($CZ$3:$CZ$42=$U40)*($DC$3:$DC$42=$U38)*$DB$3:$DB$42)+SUMPRODUCT(($CZ$3:$CZ$42=$U41)*($DC$3:$DC$42=$U38)*$DB$3:$DB$42)+SUMPRODUCT(($CZ$3:$CZ$42=$U37)*($DC$3:$DC$42=$U38)*$DB$3:$DB$42)</f>
        <v>1</v>
      </c>
      <c r="Z38" s="169">
        <f>SUMPRODUCT(($CZ$3:$CZ$42=$U38)*($DC$3:$DC$42=$U39)*$DB$3:$DB$42)+SUMPRODUCT(($CZ$3:$CZ$42=$U38)*($DC$3:$DC$42=$U40)*$DB$3:$DB$42)+SUMPRODUCT(($CZ$3:$CZ$42=$U38)*($DC$3:$DC$42=$U41)*$DB$3:$DB$42)+SUMPRODUCT(($CZ$3:$CZ$42=$U38)*($DC$3:$DC$42=$U37)*$DB$3:$DB$42)+SUMPRODUCT(($CZ$3:$CZ$42=$U39)*($DC$3:$DC$42=$U38)*$DA$3:$DA$42)+SUMPRODUCT(($CZ$3:$CZ$42=$U40)*($DC$3:$DC$42=$U38)*$DA$3:$DA$42)+SUMPRODUCT(($CZ$3:$CZ$42=$U41)*($DC$3:$DC$42=$U38)*$DA$3:$DA$42)+SUMPRODUCT(($CZ$3:$CZ$42=$U37)*($DC$3:$DC$42=$U38)*$DA$3:$DA$42)</f>
        <v>1</v>
      </c>
      <c r="AA38" s="169">
        <f>Y38-Z38+1000</f>
        <v>1000</v>
      </c>
      <c r="AB38" s="169">
        <f>IF(U38&lt;&gt;"",V38*3+W38*1,"")</f>
        <v>1</v>
      </c>
      <c r="AC38" s="169">
        <f>IF(U38&lt;&gt;"",VLOOKUP(U38,$B$4:$H$40,7,FALSE),"")</f>
        <v>1002</v>
      </c>
      <c r="AD38" s="169">
        <f>IF(U38&lt;&gt;"",VLOOKUP(U38,$B$4:$H$40,5,FALSE),"")</f>
        <v>6</v>
      </c>
      <c r="AE38" s="169">
        <f>IF(U38&lt;&gt;"",VLOOKUP(U38,$B$4:$J$40,9,FALSE),"")</f>
        <v>113</v>
      </c>
      <c r="AF38" s="169">
        <f>AB38</f>
        <v>1</v>
      </c>
      <c r="AG38" s="169">
        <f>IF(U38&lt;&gt;"",RANK(AF38,$AF$37:$AF$41),"")</f>
        <v>1</v>
      </c>
      <c r="AH38" s="169">
        <f>IF(U38&lt;&gt;"",SUMPRODUCT((AF$37:AF$41=AF38)*(AA$37:AA$41&gt;AA38)),"")</f>
        <v>0</v>
      </c>
      <c r="AI38" s="169">
        <f>IF(U38&lt;&gt;"",SUMPRODUCT((AF$37:AF$41=AF38)*(AA$37:AA$41=AA38)*(Y$37:Y$41&gt;Y38)),"")</f>
        <v>0</v>
      </c>
      <c r="AJ38" s="169">
        <f>IF(U38&lt;&gt;"",SUMPRODUCT((AF$37:AF$41=AF38)*(AA$37:AA$41=AA38)*(Y$37:Y$41=Y38)*(AC$37:AC$41&gt;AC38)),"")</f>
        <v>0</v>
      </c>
      <c r="AK38" s="169">
        <f>IF(U38&lt;&gt;"",SUMPRODUCT((AF$37:AF$41=AF38)*(AA$37:AA$41=AA38)*(Y$37:Y$41=Y38)*(AC$37:AC$41=AC38)*(AD$37:AD$41&gt;AD38)),"")</f>
        <v>0</v>
      </c>
      <c r="AL38" s="169">
        <f>IF(U38&lt;&gt;"",SUMPRODUCT((AF$37:AF$41=AF38)*(AA$37:AA$41=AA38)*(Y$37:Y$41=Y38)*(AC$37:AC$41=AC38)*(AD$37:AD$41=AD38)*(AE$37:AE$41&gt;AE38)),"")</f>
        <v>0</v>
      </c>
      <c r="AM38" s="169">
        <f>IF(U38&lt;&gt;"",SUM(AG38:AL38),"")</f>
        <v>1</v>
      </c>
      <c r="AN38" s="169" t="str">
        <f>IF(U38&lt;&gt;"",INDEX($U$37:$U$41,MATCH(2,$AM$37:$AM$41,0),0),"")</f>
        <v>Island</v>
      </c>
      <c r="AO38" s="169" t="str">
        <f>IF(Q37&lt;&gt;"",Q37,"")</f>
        <v/>
      </c>
      <c r="AP38" s="169">
        <f>SUMPRODUCT(($CZ$3:$CZ$42=$AO38)*($DC$3:$DC$42=$AO39)*($DD$3:$DD$42="W"))+SUMPRODUCT(($CZ$3:$CZ$42=$AO38)*($DC$3:$DC$42=$AO40)*($DD$3:$DD$42="W"))+SUMPRODUCT(($CZ$3:$CZ$42=$AO38)*($DC$3:$DC$42=$AO41)*($DD$3:$DD$42="W"))+SUMPRODUCT(($CZ$3:$CZ$42=$AO39)*($DC$3:$DC$42=$AO38)*($DE$3:$DE$42="W"))+SUMPRODUCT(($CZ$3:$CZ$42=$AO40)*($DC$3:$DC$42=$AO38)*($DE$3:$DE$42="W"))+SUMPRODUCT(($CZ$3:$CZ$42=$AO41)*($DC$3:$DC$42=$AO38)*($DE$3:$DE$42="W"))</f>
        <v>0</v>
      </c>
      <c r="AQ38" s="169">
        <f>SUMPRODUCT(($CZ$3:$CZ$42=$AO38)*($DC$3:$DC$42=$AO39)*($DD$3:$DD$42="D"))+SUMPRODUCT(($CZ$3:$CZ$42=$AO38)*($DC$3:$DC$42=$AO40)*($DD$3:$DD$42="D"))+SUMPRODUCT(($CZ$3:$CZ$42=$AO38)*($DC$3:$DC$42=$AO41)*($DD$3:$DD$42="D"))+SUMPRODUCT(($CZ$3:$CZ$42=$AO39)*($DC$3:$DC$42=$AO38)*($DD$3:$DD$42="D"))+SUMPRODUCT(($CZ$3:$CZ$42=$AO40)*($DC$3:$DC$42=$AO38)*($DD$3:$DD$42="D"))+SUMPRODUCT(($CZ$3:$CZ$42=$AO41)*($DC$3:$DC$42=$AO38)*($DD$3:$DD$42="D"))</f>
        <v>0</v>
      </c>
      <c r="AR38" s="169">
        <f>SUMPRODUCT(($CZ$3:$CZ$42=$AO38)*($DC$3:$DC$42=$AO39)*($DD$3:$DD$42="L"))+SUMPRODUCT(($CZ$3:$CZ$42=$AO38)*($DC$3:$DC$42=$AO40)*($DD$3:$DD$42="L"))+SUMPRODUCT(($CZ$3:$CZ$42=$AO38)*($DC$3:$DC$42=$AO41)*($DD$3:$DD$42="L"))+SUMPRODUCT(($CZ$3:$CZ$42=$AO39)*($DC$3:$DC$42=$AO38)*($DE$3:$DE$42="L"))+SUMPRODUCT(($CZ$3:$CZ$42=$AO40)*($DC$3:$DC$42=$AO38)*($DE$3:$DE$42="L"))+SUMPRODUCT(($CZ$3:$CZ$42=$AO41)*($DC$3:$DC$42=$AO38)*($DE$3:$DE$42="L"))</f>
        <v>0</v>
      </c>
      <c r="AS38" s="169">
        <f>SUMPRODUCT(($CZ$3:$CZ$42=$AO38)*($DC$3:$DC$42=$AO39)*$DA$3:$DA$42)+SUMPRODUCT(($CZ$3:$CZ$42=$AO38)*($DC$3:$DC$42=$AO40)*$DA$3:$DA$42)+SUMPRODUCT(($CZ$3:$CZ$42=$AO38)*($DC$3:$DC$42=$AO41)*$DA$3:$DA$42)+SUMPRODUCT(($CZ$3:$CZ$42=$AO38)*($DC$3:$DC$42=$AO37)*$DA$3:$DA$42)+SUMPRODUCT(($CZ$3:$CZ$42=$AO39)*($DC$3:$DC$42=$AO38)*$DB$3:$DB$42)+SUMPRODUCT(($CZ$3:$CZ$42=$AO40)*($DC$3:$DC$42=$AO38)*$DB$3:$DB$42)+SUMPRODUCT(($CZ$3:$CZ$42=$AO41)*($DC$3:$DC$42=$AO38)*$DB$3:$DB$42)+SUMPRODUCT(($CZ$3:$CZ$42=$AO37)*($DC$3:$DC$42=$AO38)*$DB$3:$DB$42)</f>
        <v>0</v>
      </c>
      <c r="AT38" s="169">
        <f>SUMPRODUCT(($CZ$3:$CZ$42=$AO38)*($DC$3:$DC$42=$AO39)*$DB$3:$DB$42)+SUMPRODUCT(($CZ$3:$CZ$42=$AO38)*($DC$3:$DC$42=$AO40)*$DB$3:$DB$42)+SUMPRODUCT(($CZ$3:$CZ$42=$AO38)*($DC$3:$DC$42=$AO41)*$DB$3:$DB$42)+SUMPRODUCT(($CZ$3:$CZ$42=$AO38)*($DC$3:$DC$42=$AO37)*$DB$3:$DB$42)+SUMPRODUCT(($CZ$3:$CZ$42=$AO39)*($DC$3:$DC$42=$AO38)*$DA$3:$DA$42)+SUMPRODUCT(($CZ$3:$CZ$42=$AO40)*($DC$3:$DC$42=$AO38)*$DA$3:$DA$42)+SUMPRODUCT(($CZ$3:$CZ$42=$AO41)*($DC$3:$DC$42=$AO38)*$DA$3:$DA$42)+SUMPRODUCT(($CZ$3:$CZ$42=$AO37)*($DC$3:$DC$42=$AO38)*$DA$3:$DA$42)</f>
        <v>0</v>
      </c>
      <c r="AU38" s="169">
        <f>AS38-AT38+1000</f>
        <v>1000</v>
      </c>
      <c r="AV38" s="169" t="str">
        <f>IF(AO38&lt;&gt;"",AP38*3+AQ38*1,"")</f>
        <v/>
      </c>
      <c r="AW38" s="169" t="str">
        <f>IF(AO38&lt;&gt;"",VLOOKUP(AO38,$B$4:$H$40,7,FALSE),"")</f>
        <v/>
      </c>
      <c r="AX38" s="169" t="str">
        <f>IF(AO38&lt;&gt;"",VLOOKUP(AO38,$B$4:$H$40,5,FALSE),"")</f>
        <v/>
      </c>
      <c r="AY38" s="169" t="str">
        <f>IF(AO38&lt;&gt;"",VLOOKUP(AO38,$B$4:$J$40,9,FALSE),"")</f>
        <v/>
      </c>
      <c r="AZ38" s="169" t="str">
        <f>AV38</f>
        <v/>
      </c>
      <c r="BA38" s="169" t="str">
        <f>IF(AO38&lt;&gt;"",RANK(AZ38,AZ$37:AZ$40),"")</f>
        <v/>
      </c>
      <c r="BB38" s="169" t="str">
        <f>IF(AO38&lt;&gt;"",SUMPRODUCT((AZ$37:AZ$41=AZ38)*(AU$37:AU$41&gt;AU38)),"")</f>
        <v/>
      </c>
      <c r="BC38" s="169" t="str">
        <f>IF(AO38&lt;&gt;"",SUMPRODUCT((AZ$37:AZ$41=AZ38)*(AU$37:AU$41=AU38)*(AS$37:AS$41&gt;AS38)),"")</f>
        <v/>
      </c>
      <c r="BD38" s="169" t="str">
        <f>IF(AO38&lt;&gt;"",SUMPRODUCT((AZ$37:AZ$41=AZ38)*(AU$37:AU$41=AU38)*(AS$37:AS$41=AS38)*(AW$37:AW$41&gt;AW38)),"")</f>
        <v/>
      </c>
      <c r="BE38" s="169" t="str">
        <f>IF(AO38&lt;&gt;"",SUMPRODUCT((AZ$37:AZ$41=AZ38)*(AU$37:AU$41=AU38)*(AS$37:AS$41=AS38)*(AW$37:AW$41=AW38)*(AX$37:AX$41&gt;AX38)),"")</f>
        <v/>
      </c>
      <c r="BF38" s="169" t="str">
        <f>IF(AO38&lt;&gt;"",SUMPRODUCT((AZ$37:AZ$41=AZ38)*(AU$37:AU$41=AU38)*(AS$37:AS$41=AS38)*(AW$37:AW$41=AW38)*(AX$37:AX$41=AX38)*(AY$37:AY$41&gt;AY38)),"")</f>
        <v/>
      </c>
      <c r="BG38" s="169" t="str">
        <f>IF(AO38&lt;&gt;"",SUM(BA38:BF38)+1,"")</f>
        <v/>
      </c>
      <c r="BH38" s="169" t="str">
        <f>IF(AO38&lt;&gt;"",INDEX(AO38:AO41,MATCH(2,BG38:BG41,0),0),"")</f>
        <v/>
      </c>
      <c r="CW38" s="169" t="str">
        <f>IF(BH38&lt;&gt;"",BH38,IF(AN38&lt;&gt;"",AN38,N38))</f>
        <v>Island</v>
      </c>
      <c r="CX38" s="169">
        <v>2</v>
      </c>
      <c r="CY38" s="169">
        <v>36</v>
      </c>
      <c r="CZ38" s="169" t="str">
        <f>Tournament!H48</f>
        <v>Schweden</v>
      </c>
      <c r="DA38" s="169">
        <f>IF(AND(Tournament!J48&lt;&gt;"",Tournament!L48&lt;&gt;""),Tournament!J48,0)</f>
        <v>0</v>
      </c>
      <c r="DB38" s="169">
        <f>IF(AND(Tournament!L48&lt;&gt;"",Tournament!J48&lt;&gt;""),Tournament!L48,0)</f>
        <v>1</v>
      </c>
      <c r="DC38" s="169" t="str">
        <f>Tournament!N48</f>
        <v>Belgien</v>
      </c>
      <c r="DD38" s="169" t="str">
        <f>IF(AND(Tournament!J48&lt;&gt;"",Tournament!L48&lt;&gt;""),IF(DA38&gt;DB38,"W",IF(DA38=DB38,"D","L")),"")</f>
        <v>L</v>
      </c>
      <c r="DE38" s="169" t="str">
        <f t="shared" si="6"/>
        <v>W</v>
      </c>
    </row>
    <row r="39" spans="1:109" x14ac:dyDescent="0.2">
      <c r="A39" s="169">
        <f>VLOOKUP(B39,$CW$37:$CX$41,2,FALSE)</f>
        <v>4</v>
      </c>
      <c r="B39" s="169" t="str">
        <f>'Countries and Timezone'!C29</f>
        <v>Österreich</v>
      </c>
      <c r="C39" s="169">
        <f>SUMPRODUCT(($CZ$3:$CZ$42=$B39)*($DD$3:$DD$42="W"))+SUMPRODUCT(($DC$3:$DC$42=$B39)*($DE$3:$DE$42="W"))</f>
        <v>0</v>
      </c>
      <c r="D39" s="169">
        <f>SUMPRODUCT(($CZ$3:$CZ$42=$B39)*($DD$3:$DD$42="D"))+SUMPRODUCT(($DC$3:$DC$42=$B39)*($DE$3:$DE$42="D"))</f>
        <v>1</v>
      </c>
      <c r="E39" s="169">
        <f>SUMPRODUCT(($CZ$3:$CZ$42=$B39)*($DD$3:$DD$42="L"))+SUMPRODUCT(($DC$3:$DC$42=$B39)*($DE$3:$DE$42="L"))</f>
        <v>2</v>
      </c>
      <c r="F39" s="169">
        <f>SUMIF($CZ$3:$CZ$60,B39,$DA$3:$DA$60)+SUMIF($DC$3:$DC$60,B39,$DB$3:$DB$60)</f>
        <v>1</v>
      </c>
      <c r="G39" s="169">
        <f>SUMIF($DC$3:$DC$60,B39,$DA$3:$DA$60)+SUMIF($CZ$3:$CZ$60,B39,$DB$3:$DB$60)</f>
        <v>4</v>
      </c>
      <c r="H39" s="169">
        <f>F39-G39+1000</f>
        <v>997</v>
      </c>
      <c r="I39" s="169">
        <f>C39*3+D39*1</f>
        <v>1</v>
      </c>
      <c r="J39" s="169">
        <v>112</v>
      </c>
      <c r="K39" s="169">
        <f>RANK(I39,I$37:I$41)</f>
        <v>4</v>
      </c>
      <c r="M39" s="169">
        <f>RANK(I39,$I$37:$I$41)+COUNTIF($I$37:I39,I39)-1</f>
        <v>4</v>
      </c>
      <c r="N39" s="169" t="str">
        <f>INDEX($B$37:$B$41,MATCH(3,$M$37:$M$41,0),0)</f>
        <v>Portugal</v>
      </c>
      <c r="O39" s="169">
        <f>INDEX($K$37:$K$41,MATCH(N39,$B$37:$B$41,0),0)</f>
        <v>3</v>
      </c>
      <c r="P39" s="169" t="str">
        <f>IF(AND(P38&lt;&gt;"",O39=1),N39,"")</f>
        <v/>
      </c>
      <c r="Q39" s="169" t="str">
        <f>IF(AND(Q38&lt;&gt;"",O40=2),N40,"")</f>
        <v/>
      </c>
      <c r="R39" s="169" t="str">
        <f>IF(AND(R38&lt;&gt;"",O41=3),N41,"")</f>
        <v/>
      </c>
      <c r="U39" s="169" t="str">
        <f>IF(P39&lt;&gt;"",P39,"")</f>
        <v/>
      </c>
      <c r="V39" s="169">
        <f>SUMPRODUCT(($CZ$3:$CZ$42=$U39)*($DC$3:$DC$42=$U40)*($DD$3:$DD$42="W"))+SUMPRODUCT(($CZ$3:$CZ$42=$U39)*($DC$3:$DC$42=$U41)*($DD$3:$DD$42="W"))+SUMPRODUCT(($CZ$3:$CZ$42=$U39)*($DC$3:$DC$42=$U37)*($DD$3:$DD$42="W"))+SUMPRODUCT(($CZ$3:$CZ$42=$U39)*($DC$3:$DC$42=$U38)*($DD$3:$DD$42="W"))+SUMPRODUCT(($CZ$3:$CZ$42=$U40)*($DC$3:$DC$42=$U39)*($DE$3:$DE$42="W"))+SUMPRODUCT(($CZ$3:$CZ$42=$U41)*($DC$3:$DC$42=$U39)*($DE$3:$DE$42="W"))+SUMPRODUCT(($CZ$3:$CZ$42=$U37)*($DC$3:$DC$42=$U39)*($DE$3:$DE$42="W"))+SUMPRODUCT(($CZ$3:$CZ$42=$U38)*($DC$3:$DC$42=$U39)*($DE$3:$DE$42="W"))</f>
        <v>0</v>
      </c>
      <c r="W39" s="169">
        <f>SUMPRODUCT(($CZ$3:$CZ$42=$U39)*($DC$3:$DC$42=$U40)*($DD$3:$DD$42="D"))+SUMPRODUCT(($CZ$3:$CZ$42=$U39)*($DC$3:$DC$42=$U41)*($DD$3:$DD$42="D"))+SUMPRODUCT(($CZ$3:$CZ$42=$U39)*($DC$3:$DC$42=$U37)*($DD$3:$DD$42="D"))+SUMPRODUCT(($CZ$3:$CZ$42=$U39)*($DC$3:$DC$42=$U38)*($DD$3:$DD$42="D"))+SUMPRODUCT(($CZ$3:$CZ$42=$U40)*($DC$3:$DC$42=$U39)*($DD$3:$DD$42="D"))+SUMPRODUCT(($CZ$3:$CZ$42=$U41)*($DC$3:$DC$42=$U39)*($DD$3:$DD$42="D"))+SUMPRODUCT(($CZ$3:$CZ$42=$U37)*($DC$3:$DC$42=$U39)*($DD$3:$DD$42="D"))+SUMPRODUCT(($CZ$3:$CZ$42=$U38)*($DC$3:$DC$42=$U39)*($DD$3:$DD$42="D"))</f>
        <v>0</v>
      </c>
      <c r="X39" s="169">
        <f>SUMPRODUCT(($CZ$3:$CZ$42=$U39)*($DC$3:$DC$42=$U40)*($DD$3:$DD$42="L"))+SUMPRODUCT(($CZ$3:$CZ$42=$U39)*($DC$3:$DC$42=$U41)*($DD$3:$DD$42="L"))+SUMPRODUCT(($CZ$3:$CZ$42=$U39)*($DC$3:$DC$42=$U37)*($DD$3:$DD$42="L"))+SUMPRODUCT(($CZ$3:$CZ$42=$U39)*($DC$3:$DC$42=$U38)*($DD$3:$DD$42="L"))+SUMPRODUCT(($CZ$3:$CZ$42=$U40)*($DC$3:$DC$42=$U39)*($DE$3:$DE$42="L"))+SUMPRODUCT(($CZ$3:$CZ$42=$U41)*($DC$3:$DC$42=$U39)*($DE$3:$DE$42="L"))+SUMPRODUCT(($CZ$3:$CZ$42=$U37)*($DC$3:$DC$42=$U39)*($DE$3:$DE$42="L"))+SUMPRODUCT(($CZ$3:$CZ$42=$U38)*($DC$3:$DC$42=$U39)*($DE$3:$DE$42="L"))</f>
        <v>0</v>
      </c>
      <c r="Y39" s="169">
        <f>SUMPRODUCT(($CZ$3:$CZ$42=$U39)*($DC$3:$DC$42=$U40)*$DA$3:$DA$42)+SUMPRODUCT(($CZ$3:$CZ$42=$U39)*($DC$3:$DC$42=$U41)*$DA$3:$DA$42)+SUMPRODUCT(($CZ$3:$CZ$42=$U39)*($DC$3:$DC$42=$U37)*$DA$3:$DA$42)+SUMPRODUCT(($CZ$3:$CZ$42=$U39)*($DC$3:$DC$42=$U38)*$DA$3:$DA$42)+SUMPRODUCT(($CZ$3:$CZ$42=$U40)*($DC$3:$DC$42=$U39)*$DB$3:$DB$42)+SUMPRODUCT(($CZ$3:$CZ$42=$U41)*($DC$3:$DC$42=$U39)*$DB$3:$DB$42)+SUMPRODUCT(($CZ$3:$CZ$42=$U37)*($DC$3:$DC$42=$U39)*$DB$3:$DB$42)+SUMPRODUCT(($CZ$3:$CZ$42=$U38)*($DC$3:$DC$42=$U39)*$DB$3:$DB$42)</f>
        <v>0</v>
      </c>
      <c r="Z39" s="169">
        <f>SUMPRODUCT(($CZ$3:$CZ$42=$U39)*($DC$3:$DC$42=$U40)*$DB$3:$DB$42)+SUMPRODUCT(($CZ$3:$CZ$42=$U39)*($DC$3:$DC$42=$U41)*$DB$3:$DB$42)+SUMPRODUCT(($CZ$3:$CZ$42=$U39)*($DC$3:$DC$42=$U37)*$DB$3:$DB$42)+SUMPRODUCT(($CZ$3:$CZ$42=$U39)*($DC$3:$DC$42=$U38)*$DB$3:$DB$42)+SUMPRODUCT(($CZ$3:$CZ$42=$U40)*($DC$3:$DC$42=$U39)*$DA$3:$DA$42)+SUMPRODUCT(($CZ$3:$CZ$42=$U41)*($DC$3:$DC$42=$U39)*$DA$3:$DA$42)+SUMPRODUCT(($CZ$3:$CZ$42=$U37)*($DC$3:$DC$42=$U39)*$DA$3:$DA$42)+SUMPRODUCT(($CZ$3:$CZ$42=$U38)*($DC$3:$DC$42=$U39)*$DA$3:$DA$42)</f>
        <v>0</v>
      </c>
      <c r="AA39" s="169">
        <f>Y39-Z39+1000</f>
        <v>1000</v>
      </c>
      <c r="AB39" s="169" t="str">
        <f>IF(U39&lt;&gt;"",V39*3+W39*1,"")</f>
        <v/>
      </c>
      <c r="AC39" s="169" t="str">
        <f>IF(U39&lt;&gt;"",VLOOKUP(U39,$B$4:$H$40,7,FALSE),"")</f>
        <v/>
      </c>
      <c r="AD39" s="169" t="str">
        <f>IF(U39&lt;&gt;"",VLOOKUP(U39,$B$4:$H$40,5,FALSE),"")</f>
        <v/>
      </c>
      <c r="AE39" s="169" t="str">
        <f>IF(U39&lt;&gt;"",VLOOKUP(U39,$B$4:$J$40,9,FALSE),"")</f>
        <v/>
      </c>
      <c r="AF39" s="169" t="str">
        <f>AB39</f>
        <v/>
      </c>
      <c r="AG39" s="169" t="str">
        <f>IF(U39&lt;&gt;"",RANK(AF39,$AF$37:$AF$41),"")</f>
        <v/>
      </c>
      <c r="AH39" s="169" t="str">
        <f>IF(U39&lt;&gt;"",SUMPRODUCT((AF$37:AF$41=AF39)*(AA$37:AA$41&gt;AA39)),"")</f>
        <v/>
      </c>
      <c r="AI39" s="169" t="str">
        <f>IF(U39&lt;&gt;"",SUMPRODUCT((AF$37:AF$41=AF39)*(AA$37:AA$41=AA39)*(Y$37:Y$41&gt;Y39)),"")</f>
        <v/>
      </c>
      <c r="AJ39" s="169" t="str">
        <f>IF(U39&lt;&gt;"",SUMPRODUCT((AF$37:AF$41=AF39)*(AA$37:AA$41=AA39)*(Y$37:Y$41=Y39)*(AC$37:AC$41&gt;AC39)),"")</f>
        <v/>
      </c>
      <c r="AK39" s="169" t="str">
        <f>IF(U39&lt;&gt;"",SUMPRODUCT((AF$37:AF$41=AF39)*(AA$37:AA$41=AA39)*(Y$37:Y$41=Y39)*(AC$37:AC$41=AC39)*(AD$37:AD$41&gt;AD39)),"")</f>
        <v/>
      </c>
      <c r="AL39" s="169" t="str">
        <f>IF(U39&lt;&gt;"",SUMPRODUCT((AF$37:AF$41=AF39)*(AA$37:AA$41=AA39)*(Y$37:Y$41=Y39)*(AC$37:AC$41=AC39)*(AD$37:AD$41=AD39)*(AE$37:AE$41&gt;AE39)),"")</f>
        <v/>
      </c>
      <c r="AM39" s="169" t="str">
        <f>IF(U39&lt;&gt;"",SUM(AG39:AL39),"")</f>
        <v/>
      </c>
      <c r="AN39" s="169" t="str">
        <f>IF(U39&lt;&gt;"",INDEX($U$37:$U$41,MATCH(3,$AM$37:$AM$41,0),0),"")</f>
        <v/>
      </c>
      <c r="AO39" s="169" t="str">
        <f>IF(Q38&lt;&gt;"",Q38,"")</f>
        <v/>
      </c>
      <c r="AP39" s="169">
        <f>SUMPRODUCT(($CZ$3:$CZ$42=$AO39)*($DC$3:$DC$42=$AO40)*($DD$3:$DD$42="W"))+SUMPRODUCT(($CZ$3:$CZ$42=$AO39)*($DC$3:$DC$42=$AO41)*($DD$3:$DD$42="W"))+SUMPRODUCT(($CZ$3:$CZ$42=$AO39)*($DC$3:$DC$42=$AO38)*($DD$3:$DD$42="W"))+SUMPRODUCT(($CZ$3:$CZ$42=$AO40)*($DC$3:$DC$42=$AO39)*($DE$3:$DE$42="W"))+SUMPRODUCT(($CZ$3:$CZ$42=$AO41)*($DC$3:$DC$42=$AO39)*($DE$3:$DE$42="W"))+SUMPRODUCT(($CZ$3:$CZ$42=$AO38)*($DC$3:$DC$42=$AO39)*($DE$3:$DE$42="W"))</f>
        <v>0</v>
      </c>
      <c r="AQ39" s="169">
        <f>SUMPRODUCT(($CZ$3:$CZ$42=$AO39)*($DC$3:$DC$42=$AO40)*($DD$3:$DD$42="D"))+SUMPRODUCT(($CZ$3:$CZ$42=$AO39)*($DC$3:$DC$42=$AO41)*($DD$3:$DD$42="D"))+SUMPRODUCT(($CZ$3:$CZ$42=$AO39)*($DC$3:$DC$42=$AO38)*($DD$3:$DD$42="D"))+SUMPRODUCT(($CZ$3:$CZ$42=$AO40)*($DC$3:$DC$42=$AO39)*($DD$3:$DD$42="D"))+SUMPRODUCT(($CZ$3:$CZ$42=$AO41)*($DC$3:$DC$42=$AO39)*($DD$3:$DD$42="D"))+SUMPRODUCT(($CZ$3:$CZ$42=$AO38)*($DC$3:$DC$42=$AO39)*($DD$3:$DD$42="D"))</f>
        <v>0</v>
      </c>
      <c r="AR39" s="169">
        <f>SUMPRODUCT(($CZ$3:$CZ$42=$AO39)*($DC$3:$DC$42=$AO40)*($DD$3:$DD$42="L"))+SUMPRODUCT(($CZ$3:$CZ$42=$AO39)*($DC$3:$DC$42=$AO41)*($DD$3:$DD$42="L"))+SUMPRODUCT(($CZ$3:$CZ$42=$AO39)*($DC$3:$DC$42=$AO38)*($DD$3:$DD$42="L"))+SUMPRODUCT(($CZ$3:$CZ$42=$AO40)*($DC$3:$DC$42=$AO39)*($DE$3:$DE$42="L"))+SUMPRODUCT(($CZ$3:$CZ$42=$AO41)*($DC$3:$DC$42=$AO39)*($DE$3:$DE$42="L"))+SUMPRODUCT(($CZ$3:$CZ$42=$AO38)*($DC$3:$DC$42=$AO39)*($DE$3:$DE$42="L"))</f>
        <v>0</v>
      </c>
      <c r="AS39" s="169">
        <f>SUMPRODUCT(($CZ$3:$CZ$42=$AO39)*($DC$3:$DC$42=$AO40)*$DA$3:$DA$42)+SUMPRODUCT(($CZ$3:$CZ$42=$AO39)*($DC$3:$DC$42=$AO41)*$DA$3:$DA$42)+SUMPRODUCT(($CZ$3:$CZ$42=$AO39)*($DC$3:$DC$42=$AO37)*$DA$3:$DA$42)+SUMPRODUCT(($CZ$3:$CZ$42=$AO39)*($DC$3:$DC$42=$AO38)*$DA$3:$DA$42)+SUMPRODUCT(($CZ$3:$CZ$42=$AO40)*($DC$3:$DC$42=$AO39)*$DB$3:$DB$42)+SUMPRODUCT(($CZ$3:$CZ$42=$AO41)*($DC$3:$DC$42=$AO39)*$DB$3:$DB$42)+SUMPRODUCT(($CZ$3:$CZ$42=$AO37)*($DC$3:$DC$42=$AO39)*$DB$3:$DB$42)+SUMPRODUCT(($CZ$3:$CZ$42=$AO38)*($DC$3:$DC$42=$AO39)*$DB$3:$DB$42)</f>
        <v>0</v>
      </c>
      <c r="AT39" s="169">
        <f>SUMPRODUCT(($CZ$3:$CZ$42=$AO39)*($DC$3:$DC$42=$AO40)*$DB$3:$DB$42)+SUMPRODUCT(($CZ$3:$CZ$42=$AO39)*($DC$3:$DC$42=$AO41)*$DB$3:$DB$42)+SUMPRODUCT(($CZ$3:$CZ$42=$AO39)*($DC$3:$DC$42=$AO37)*$DB$3:$DB$42)+SUMPRODUCT(($CZ$3:$CZ$42=$AO39)*($DC$3:$DC$42=$AO38)*$DB$3:$DB$42)+SUMPRODUCT(($CZ$3:$CZ$42=$AO40)*($DC$3:$DC$42=$AO39)*$DA$3:$DA$42)+SUMPRODUCT(($CZ$3:$CZ$42=$AO41)*($DC$3:$DC$42=$AO39)*$DA$3:$DA$42)+SUMPRODUCT(($CZ$3:$CZ$42=$AO37)*($DC$3:$DC$42=$AO39)*$DA$3:$DA$42)+SUMPRODUCT(($CZ$3:$CZ$42=$AO38)*($DC$3:$DC$42=$AO39)*$DA$3:$DA$42)</f>
        <v>0</v>
      </c>
      <c r="AU39" s="169">
        <f>AS39-AT39+1000</f>
        <v>1000</v>
      </c>
      <c r="AV39" s="169" t="str">
        <f>IF(AO39&lt;&gt;"",AP39*3+AQ39*1,"")</f>
        <v/>
      </c>
      <c r="AW39" s="169" t="str">
        <f>IF(AO39&lt;&gt;"",VLOOKUP(AO39,$B$4:$H$40,7,FALSE),"")</f>
        <v/>
      </c>
      <c r="AX39" s="169" t="str">
        <f>IF(AO39&lt;&gt;"",VLOOKUP(AO39,$B$4:$H$40,5,FALSE),"")</f>
        <v/>
      </c>
      <c r="AY39" s="169" t="str">
        <f>IF(AO39&lt;&gt;"",VLOOKUP(AO39,$B$4:$J$40,9,FALSE),"")</f>
        <v/>
      </c>
      <c r="AZ39" s="169" t="str">
        <f>AV39</f>
        <v/>
      </c>
      <c r="BA39" s="169" t="str">
        <f>IF(AO39&lt;&gt;"",RANK(AZ39,AZ$37:AZ$40),"")</f>
        <v/>
      </c>
      <c r="BB39" s="169" t="str">
        <f>IF(AO39&lt;&gt;"",SUMPRODUCT((AZ$37:AZ$41=AZ39)*(AU$37:AU$41&gt;AU39)),"")</f>
        <v/>
      </c>
      <c r="BC39" s="169" t="str">
        <f>IF(AO39&lt;&gt;"",SUMPRODUCT((AZ$37:AZ$41=AZ39)*(AU$37:AU$41=AU39)*(AS$37:AS$41&gt;AS39)),"")</f>
        <v/>
      </c>
      <c r="BD39" s="169" t="str">
        <f>IF(AO39&lt;&gt;"",SUMPRODUCT((AZ$37:AZ$41=AZ39)*(AU$37:AU$41=AU39)*(AS$37:AS$41=AS39)*(AW$37:AW$41&gt;AW39)),"")</f>
        <v/>
      </c>
      <c r="BE39" s="169" t="str">
        <f>IF(AO39&lt;&gt;"",SUMPRODUCT((AZ$37:AZ$41=AZ39)*(AU$37:AU$41=AU39)*(AS$37:AS$41=AS39)*(AW$37:AW$41=AW39)*(AX$37:AX$41&gt;AX39)),"")</f>
        <v/>
      </c>
      <c r="BF39" s="169" t="str">
        <f>IF(AO39&lt;&gt;"",SUMPRODUCT((AZ$37:AZ$41=AZ39)*(AU$37:AU$41=AU39)*(AS$37:AS$41=AS39)*(AW$37:AW$41=AW39)*(AX$37:AX$41=AX39)*(AY$37:AY$41&gt;AY39)),"")</f>
        <v/>
      </c>
      <c r="BG39" s="169" t="str">
        <f>IF(AO39&lt;&gt;"",SUM(BA39:BF39)+1,"")</f>
        <v/>
      </c>
      <c r="BH39" s="169" t="str">
        <f>IF(AO39&lt;&gt;"",INDEX(AO38:AO41,MATCH(3,BG38:BG41,0),0),"")</f>
        <v/>
      </c>
      <c r="BI39" s="169" t="str">
        <f>IF(R37&lt;&gt;"",R37,"")</f>
        <v/>
      </c>
      <c r="BJ39" s="169">
        <f>SUMPRODUCT(($CZ$3:$CZ$42=$BI39)*($DC$3:$DC$42=$BI40)*($DD$3:$DD$42="W"))+SUMPRODUCT(($CZ$3:$CZ$42=$BI39)*($DC$3:$DC$42=$BI41)*($DD$3:$DD$42="W"))+SUMPRODUCT(($CZ$3:$CZ$42=$BI39)*($DC$3:$DC$42=$BI42)*($DD$3:$DD$42="W"))+SUMPRODUCT(($CZ$3:$CZ$42=$BI40)*($DC$3:$DC$42=$BI39)*($DE$3:$DE$42="W"))+SUMPRODUCT(($CZ$3:$CZ$42=$BI41)*($DC$3:$DC$42=$BI39)*($DE$3:$DE$42="W"))+SUMPRODUCT(($CZ$3:$CZ$42=$BI42)*($DC$3:$DC$42=$BI39)*($DE$3:$DE$42="W"))</f>
        <v>0</v>
      </c>
      <c r="BK39" s="169">
        <f>SUMPRODUCT(($CZ$3:$CZ$42=$BI39)*($DC$3:$DC$42=$BI40)*($DD$3:$DD$42="D"))+SUMPRODUCT(($CZ$3:$CZ$42=$BI39)*($DC$3:$DC$42=$BI41)*($DD$3:$DD$42="D"))+SUMPRODUCT(($CZ$3:$CZ$42=$BI39)*($DC$3:$DC$42=$BI42)*($DD$3:$DD$42="D"))+SUMPRODUCT(($CZ$3:$CZ$42=$BI40)*($DC$3:$DC$42=$BI39)*($DD$3:$DD$42="D"))+SUMPRODUCT(($CZ$3:$CZ$42=$BI41)*($DC$3:$DC$42=$BI39)*($DD$3:$DD$42="D"))+SUMPRODUCT(($CZ$3:$CZ$42=$BI42)*($DC$3:$DC$42=$BI39)*($DD$3:$DD$42="D"))</f>
        <v>0</v>
      </c>
      <c r="BL39" s="169">
        <f>SUMPRODUCT(($CZ$3:$CZ$42=$BI39)*($DC$3:$DC$42=$BI40)*($DD$3:$DD$42="L"))+SUMPRODUCT(($CZ$3:$CZ$42=$BI39)*($DC$3:$DC$42=$BI41)*($DD$3:$DD$42="L"))+SUMPRODUCT(($CZ$3:$CZ$42=$BI39)*($DC$3:$DC$42=$BI42)*($DD$3:$DD$42="L"))+SUMPRODUCT(($CZ$3:$CZ$42=$BI40)*($DC$3:$DC$42=$BI39)*($DE$3:$DE$42="L"))+SUMPRODUCT(($CZ$3:$CZ$42=$BI41)*($DC$3:$DC$42=$BI39)*($DE$3:$DE$42="L"))+SUMPRODUCT(($CZ$3:$CZ$42=$BI42)*($DC$3:$DC$42=$BI39)*($DE$3:$DE$42="L"))</f>
        <v>0</v>
      </c>
      <c r="BM39" s="169">
        <f>SUMPRODUCT(($CZ$3:$CZ$42=$BI39)*($DC$3:$DC$42=$BI40)*$DA$3:$DA$42)+SUMPRODUCT(($CZ$3:$CZ$42=$BI39)*($DC$3:$DC$42=$BI41)*$DA$3:$DA$42)+SUMPRODUCT(($CZ$3:$CZ$42=$BI39)*($DC$3:$DC$42=$BI37)*$DA$3:$DA$42)+SUMPRODUCT(($CZ$3:$CZ$42=$BI39)*($DC$3:$DC$42=$BI38)*$DA$3:$DA$42)+SUMPRODUCT(($CZ$3:$CZ$42=$BI40)*($DC$3:$DC$42=$BI39)*$DB$3:$DB$42)+SUMPRODUCT(($CZ$3:$CZ$42=$BI41)*($DC$3:$DC$42=$BI39)*$DB$3:$DB$42)+SUMPRODUCT(($CZ$3:$CZ$42=$BI37)*($DC$3:$DC$42=$BI39)*$DB$3:$DB$42)+SUMPRODUCT(($CZ$3:$CZ$42=$BI38)*($DC$3:$DC$42=$BI39)*$DB$3:$DB$42)</f>
        <v>0</v>
      </c>
      <c r="BN39" s="169">
        <f>SUMPRODUCT(($CZ$3:$CZ$42=$BI39)*($DC$3:$DC$42=$BI40)*$DB$3:$DB$42)+SUMPRODUCT(($CZ$3:$CZ$42=$BI39)*($DC$3:$DC$42=$BI41)*$DB$3:$DB$42)+SUMPRODUCT(($CZ$3:$CZ$42=$BI39)*($DC$3:$DC$42=$BI37)*$DB$3:$DB$42)+SUMPRODUCT(($CZ$3:$CZ$42=$BI39)*($DC$3:$DC$42=$BI38)*$DB$3:$DB$42)+SUMPRODUCT(($CZ$3:$CZ$42=$BI40)*($DC$3:$DC$42=$BI39)*$DA$3:$DA$42)+SUMPRODUCT(($CZ$3:$CZ$42=$BI41)*($DC$3:$DC$42=$BI39)*$DA$3:$DA$42)+SUMPRODUCT(($CZ$3:$CZ$42=$BI37)*($DC$3:$DC$42=$BI39)*$DA$3:$DA$42)+SUMPRODUCT(($CZ$3:$CZ$42=$BI38)*($DC$3:$DC$42=$BI39)*$DA$3:$DA$42)</f>
        <v>0</v>
      </c>
      <c r="BO39" s="169">
        <f>BM39-BN39+1000</f>
        <v>1000</v>
      </c>
      <c r="BP39" s="169" t="str">
        <f>IF(BI39&lt;&gt;"",BJ39*3+BK39*1,"")</f>
        <v/>
      </c>
      <c r="BQ39" s="169" t="str">
        <f>IF(BI39&lt;&gt;"",VLOOKUP(BI39,$B$4:$H$40,7,FALSE),"")</f>
        <v/>
      </c>
      <c r="BR39" s="169" t="str">
        <f>IF(BI39&lt;&gt;"",VLOOKUP(BI39,$B$4:$H$40,5,FALSE),"")</f>
        <v/>
      </c>
      <c r="BS39" s="169" t="str">
        <f>IF(BI39&lt;&gt;"",VLOOKUP(BI39,$B$4:$J$40,9,FALSE),"")</f>
        <v/>
      </c>
      <c r="BT39" s="169" t="str">
        <f>BP39</f>
        <v/>
      </c>
      <c r="BU39" s="169" t="str">
        <f>IF(BI39&lt;&gt;"",RANK(BT39,$BT$38:$BT$40),"")</f>
        <v/>
      </c>
      <c r="BV39" s="169" t="str">
        <f>IF(BI39&lt;&gt;"",SUMPRODUCT((BT$37:BT$41=BT39)*(BO$37:BO$41&gt;BO39)),"")</f>
        <v/>
      </c>
      <c r="BW39" s="169" t="str">
        <f>IF(BI39&lt;&gt;"",SUMPRODUCT((BT$37:BT$41=BT39)*(BO$37:BO$41=BO39)*(BM$37:BM$41&gt;BM39)),"")</f>
        <v/>
      </c>
      <c r="BX39" s="169" t="str">
        <f>IF(BI39&lt;&gt;"",SUMPRODUCT((BT$37:BT$41=BT39)*(BO$37:BO$41=BO39)*(BM$37:BM$41=BM39)*(BQ$37:BQ$41&gt;BQ39)),"")</f>
        <v/>
      </c>
      <c r="BY39" s="169" t="str">
        <f>IF(BI39&lt;&gt;"",SUMPRODUCT((BT$37:BT$41=BT39)*(BO$37:BO$41=BO39)*(BM$37:BM$41=BM39)*(BQ$37:BQ$41=BQ39)*(BR$37:BR$41&gt;BR39)),"")</f>
        <v/>
      </c>
      <c r="BZ39" s="169" t="str">
        <f>IF(BI39&lt;&gt;"",SUMPRODUCT((BT$37:BT$41=BT39)*(BO$37:BO$41=BO39)*(BM$37:BM$41=BM39)*(BQ$37:BQ$41=BQ39)*(BR$37:BR$41=BR39)*(BS$37:BS$41&gt;BS39)),"")</f>
        <v/>
      </c>
      <c r="CA39" s="169" t="str">
        <f>IF(BI39&lt;&gt;"",SUM(BU39:BZ39)+2,"")</f>
        <v/>
      </c>
      <c r="CB39" s="169" t="str">
        <f>IF(BI39&lt;&gt;"",INDEX(BI39:BI41,MATCH(3,CA39:CA41,0),0),"")</f>
        <v/>
      </c>
      <c r="CW39" s="169" t="str">
        <f>IF(CB39&lt;&gt;"",CB39,IF(BH39&lt;&gt;"",BH39,IF(AN39&lt;&gt;"",AN39,N39)))</f>
        <v>Portugal</v>
      </c>
      <c r="CX39" s="169">
        <v>3</v>
      </c>
    </row>
    <row r="40" spans="1:109" x14ac:dyDescent="0.2">
      <c r="A40" s="169">
        <f>VLOOKUP(B40,$CW$37:$CX$41,2,FALSE)</f>
        <v>1</v>
      </c>
      <c r="B40" s="169" t="str">
        <f>'Countries and Timezone'!C30</f>
        <v>Ungarn</v>
      </c>
      <c r="C40" s="169">
        <f>SUMPRODUCT(($CZ$3:$CZ$42=$B40)*($DD$3:$DD$42="W"))+SUMPRODUCT(($DC$3:$DC$42=$B40)*($DE$3:$DE$42="W"))</f>
        <v>1</v>
      </c>
      <c r="D40" s="169">
        <f>SUMPRODUCT(($CZ$3:$CZ$42=$B40)*($DD$3:$DD$42="D"))+SUMPRODUCT(($DC$3:$DC$42=$B40)*($DE$3:$DE$42="D"))</f>
        <v>2</v>
      </c>
      <c r="E40" s="169">
        <f>SUMPRODUCT(($CZ$3:$CZ$42=$B40)*($DD$3:$DD$42="L"))+SUMPRODUCT(($DC$3:$DC$42=$B40)*($DE$3:$DE$42="L"))</f>
        <v>0</v>
      </c>
      <c r="F40" s="169">
        <f>SUMIF($CZ$3:$CZ$60,B40,$DA$3:$DA$60)+SUMIF($DC$3:$DC$60,B40,$DB$3:$DB$60)</f>
        <v>6</v>
      </c>
      <c r="G40" s="169">
        <f>SUMIF($DC$3:$DC$60,B40,$DA$3:$DA$60)+SUMIF($CZ$3:$CZ$60,B40,$DB$3:$DB$60)</f>
        <v>4</v>
      </c>
      <c r="H40" s="169">
        <f>F40-G40+1000</f>
        <v>1002</v>
      </c>
      <c r="I40" s="169">
        <f>C40*3+D40*1</f>
        <v>5</v>
      </c>
      <c r="J40" s="169">
        <v>113</v>
      </c>
      <c r="K40" s="169">
        <f>RANK(I40,I$37:I$41)</f>
        <v>1</v>
      </c>
      <c r="M40" s="169">
        <f>RANK(I40,$I$37:$I$41)+COUNTIF($I$37:I40,I40)-1</f>
        <v>2</v>
      </c>
      <c r="N40" s="169" t="str">
        <f>INDEX($B$37:$B$41,MATCH(4,$M$37:$M$41,0),0)</f>
        <v>Österreich</v>
      </c>
      <c r="O40" s="169">
        <f>INDEX($K$37:$K$41,MATCH(N40,$B$37:$B$41,0),0)</f>
        <v>4</v>
      </c>
      <c r="P40" s="169" t="str">
        <f>IF(AND(P39&lt;&gt;"",O40=1),N40,"")</f>
        <v/>
      </c>
      <c r="Q40" s="169" t="str">
        <f>IF(AND(Q39&lt;&gt;"",O41=2),N41,"")</f>
        <v/>
      </c>
      <c r="U40" s="169" t="str">
        <f>IF(P40&lt;&gt;"",P40,"")</f>
        <v/>
      </c>
      <c r="V40" s="169">
        <f>SUMPRODUCT(($CZ$3:$CZ$42=$U40)*($DC$3:$DC$42=$U41)*($DD$3:$DD$42="W"))+SUMPRODUCT(($CZ$3:$CZ$42=$U40)*($DC$3:$DC$42=$U37)*($DD$3:$DD$42="W"))+SUMPRODUCT(($CZ$3:$CZ$42=$U40)*($DC$3:$DC$42=$U38)*($DD$3:$DD$42="W"))+SUMPRODUCT(($CZ$3:$CZ$42=$U40)*($DC$3:$DC$42=$U39)*($DD$3:$DD$42="W"))+SUMPRODUCT(($CZ$3:$CZ$42=$U41)*($DC$3:$DC$42=$U40)*($DE$3:$DE$42="W"))+SUMPRODUCT(($CZ$3:$CZ$42=$U37)*($DC$3:$DC$42=$U40)*($DE$3:$DE$42="W"))+SUMPRODUCT(($CZ$3:$CZ$42=$U38)*($DC$3:$DC$42=$U40)*($DE$3:$DE$42="W"))+SUMPRODUCT(($CZ$3:$CZ$42=$U39)*($DC$3:$DC$42=$U40)*($DE$3:$DE$42="W"))</f>
        <v>0</v>
      </c>
      <c r="W40" s="169">
        <f>SUMPRODUCT(($CZ$3:$CZ$42=$U40)*($DC$3:$DC$42=$U41)*($DD$3:$DD$42="D"))+SUMPRODUCT(($CZ$3:$CZ$42=$U40)*($DC$3:$DC$42=$U37)*($DD$3:$DD$42="D"))+SUMPRODUCT(($CZ$3:$CZ$42=$U40)*($DC$3:$DC$42=$U38)*($DD$3:$DD$42="D"))+SUMPRODUCT(($CZ$3:$CZ$42=$U40)*($DC$3:$DC$42=$U39)*($DD$3:$DD$42="D"))+SUMPRODUCT(($CZ$3:$CZ$42=$U41)*($DC$3:$DC$42=$U40)*($DD$3:$DD$42="D"))+SUMPRODUCT(($CZ$3:$CZ$42=$U37)*($DC$3:$DC$42=$U40)*($DD$3:$DD$42="D"))+SUMPRODUCT(($CZ$3:$CZ$42=$U38)*($DC$3:$DC$42=$U40)*($DD$3:$DD$42="D"))+SUMPRODUCT(($CZ$3:$CZ$42=$U39)*($DC$3:$DC$42=$U40)*($DD$3:$DD$42="D"))</f>
        <v>0</v>
      </c>
      <c r="X40" s="169">
        <f>SUMPRODUCT(($CZ$3:$CZ$42=$U40)*($DC$3:$DC$42=$U41)*($DD$3:$DD$42="L"))+SUMPRODUCT(($CZ$3:$CZ$42=$U40)*($DC$3:$DC$42=$U37)*($DD$3:$DD$42="L"))+SUMPRODUCT(($CZ$3:$CZ$42=$U40)*($DC$3:$DC$42=$U38)*($DD$3:$DD$42="L"))+SUMPRODUCT(($CZ$3:$CZ$42=$U40)*($DC$3:$DC$42=$U39)*($DD$3:$DD$42="L"))+SUMPRODUCT(($CZ$3:$CZ$42=$U41)*($DC$3:$DC$42=$U40)*($DE$3:$DE$42="L"))+SUMPRODUCT(($CZ$3:$CZ$42=$U37)*($DC$3:$DC$42=$U40)*($DE$3:$DE$42="L"))+SUMPRODUCT(($CZ$3:$CZ$42=$U38)*($DC$3:$DC$42=$U40)*($DE$3:$DE$42="L"))+SUMPRODUCT(($CZ$3:$CZ$42=$U39)*($DC$3:$DC$42=$U40)*($DE$3:$DE$42="L"))</f>
        <v>0</v>
      </c>
      <c r="Y40" s="169">
        <f>SUMPRODUCT(($CZ$3:$CZ$42=$U40)*($DC$3:$DC$42=$U41)*$DA$3:$DA$42)+SUMPRODUCT(($CZ$3:$CZ$42=$U40)*($DC$3:$DC$42=$U37)*$DA$3:$DA$42)+SUMPRODUCT(($CZ$3:$CZ$42=$U40)*($DC$3:$DC$42=$U38)*$DA$3:$DA$42)+SUMPRODUCT(($CZ$3:$CZ$42=$U40)*($DC$3:$DC$42=$U39)*$DA$3:$DA$42)+SUMPRODUCT(($CZ$3:$CZ$42=$U41)*($DC$3:$DC$42=$U40)*$DB$3:$DB$42)+SUMPRODUCT(($CZ$3:$CZ$42=$U37)*($DC$3:$DC$42=$U40)*$DB$3:$DB$42)+SUMPRODUCT(($CZ$3:$CZ$42=$U38)*($DC$3:$DC$42=$U40)*$DB$3:$DB$42)+SUMPRODUCT(($CZ$3:$CZ$42=$U39)*($DC$3:$DC$42=$U40)*$DB$3:$DB$42)</f>
        <v>0</v>
      </c>
      <c r="Z40" s="169">
        <f>SUMPRODUCT(($CZ$3:$CZ$42=$U40)*($DC$3:$DC$42=$U41)*$DB$3:$DB$42)+SUMPRODUCT(($CZ$3:$CZ$42=$U40)*($DC$3:$DC$42=$U37)*$DB$3:$DB$42)+SUMPRODUCT(($CZ$3:$CZ$42=$U40)*($DC$3:$DC$42=$U38)*$DB$3:$DB$42)+SUMPRODUCT(($CZ$3:$CZ$42=$U40)*($DC$3:$DC$42=$U39)*$DB$3:$DB$42)+SUMPRODUCT(($CZ$3:$CZ$42=$U41)*($DC$3:$DC$42=$U40)*$DA$3:$DA$42)+SUMPRODUCT(($CZ$3:$CZ$42=$U37)*($DC$3:$DC$42=$U40)*$DA$3:$DA$42)+SUMPRODUCT(($CZ$3:$CZ$42=$U38)*($DC$3:$DC$42=$U40)*$DA$3:$DA$42)+SUMPRODUCT(($CZ$3:$CZ$42=$U39)*($DC$3:$DC$42=$U40)*$DA$3:$DA$42)</f>
        <v>0</v>
      </c>
      <c r="AA40" s="169">
        <f>Y40-Z40+1000</f>
        <v>1000</v>
      </c>
      <c r="AB40" s="169" t="str">
        <f>IF(U40&lt;&gt;"",V40*3+W40*1,"")</f>
        <v/>
      </c>
      <c r="AC40" s="169" t="str">
        <f>IF(U40&lt;&gt;"",VLOOKUP(U40,$B$4:$H$40,7,FALSE),"")</f>
        <v/>
      </c>
      <c r="AD40" s="169" t="str">
        <f>IF(U40&lt;&gt;"",VLOOKUP(U40,$B$4:$H$40,5,FALSE),"")</f>
        <v/>
      </c>
      <c r="AE40" s="169" t="str">
        <f>IF(U40&lt;&gt;"",VLOOKUP(U40,$B$4:$J$40,9,FALSE),"")</f>
        <v/>
      </c>
      <c r="AF40" s="169" t="str">
        <f>AB40</f>
        <v/>
      </c>
      <c r="AG40" s="169" t="str">
        <f>IF(U40&lt;&gt;"",RANK(AF40,$AF$37:$AF$41),"")</f>
        <v/>
      </c>
      <c r="AH40" s="169" t="str">
        <f>IF(U40&lt;&gt;"",SUMPRODUCT((AF$37:AF$41=AF40)*(AA$37:AA$41&gt;AA40)),"")</f>
        <v/>
      </c>
      <c r="AI40" s="169" t="str">
        <f>IF(U40&lt;&gt;"",SUMPRODUCT((AF$37:AF$41=AF40)*(AA$37:AA$41=AA40)*(Y$37:Y$41&gt;Y40)),"")</f>
        <v/>
      </c>
      <c r="AJ40" s="169" t="str">
        <f>IF(U40&lt;&gt;"",SUMPRODUCT((AF$37:AF$41=AF40)*(AA$37:AA$41=AA40)*(Y$37:Y$41=Y40)*(AC$37:AC$41&gt;AC40)),"")</f>
        <v/>
      </c>
      <c r="AK40" s="169" t="str">
        <f>IF(U40&lt;&gt;"",SUMPRODUCT((AF$37:AF$41=AF40)*(AA$37:AA$41=AA40)*(Y$37:Y$41=Y40)*(AC$37:AC$41=AC40)*(AD$37:AD$41&gt;AD40)),"")</f>
        <v/>
      </c>
      <c r="AL40" s="169" t="str">
        <f>IF(U40&lt;&gt;"",SUMPRODUCT((AF$37:AF$41=AF40)*(AA$37:AA$41=AA40)*(Y$37:Y$41=Y40)*(AC$37:AC$41=AC40)*(AD$37:AD$41=AD40)*(AE$37:AE$41&gt;AE40)),"")</f>
        <v/>
      </c>
      <c r="AM40" s="169" t="str">
        <f>IF(U40&lt;&gt;"",SUM(AG40:AL40),"")</f>
        <v/>
      </c>
      <c r="AN40" s="169" t="str">
        <f>IF(U40&lt;&gt;"",INDEX($U$37:$U$41,MATCH(4,$AM$37:$AM$41,0),0),"")</f>
        <v/>
      </c>
      <c r="AO40" s="169" t="str">
        <f>IF(Q39&lt;&gt;"",Q39,"")</f>
        <v/>
      </c>
      <c r="AP40" s="169" t="str">
        <f>IF($AO40&lt;&gt;"",SUMPRODUCT(($CZ$3:$CZ$42=$AO40)*($DC$3:$DC$42=$AO41)*($DD$3:$DD$42="W"))+SUMPRODUCT(($CZ$3:$CZ$42=$AO40)*($DC$3:$DC$42=$AO38)*($DD$3:$DD$42="W"))+SUMPRODUCT(($CZ$3:$CZ$42=$AO40)*($DC$3:$DC$42=$AO39)*($DD$3:$DD$42="W"))+SUMPRODUCT(($CZ$3:$CZ$42=$AO41)*($DC$3:$DC$42=$AO40)*($DE$3:$DE$42="W"))+SUMPRODUCT(($CZ$3:$CZ$42=$AO38)*($DC$3:$DC$42=$AO40)*($DE$3:$DE$42="W"))+SUMPRODUCT(($CZ$3:$CZ$42=$AO39)*($DC$3:$DC$42=$AO40)*($DE$3:$DE$42="W")),"")</f>
        <v/>
      </c>
      <c r="AQ40" s="169" t="str">
        <f>IF($AO40&lt;&gt;"",SUMPRODUCT(($CZ$3:$CZ$42=$AO40)*($DC$3:$DC$42=$AO41)*($DD$3:$DD$42="D"))+SUMPRODUCT(($CZ$3:$CZ$42=$AO40)*($DC$3:$DC$42=$AO38)*($DD$3:$DD$42="D"))+SUMPRODUCT(($CZ$3:$CZ$42=$AO40)*($DC$3:$DC$42=$AO39)*($DD$3:$DD$42="D"))+SUMPRODUCT(($CZ$3:$CZ$42=$AO41)*($DC$3:$DC$42=$AO40)*($DD$3:$DD$42="D"))+SUMPRODUCT(($CZ$3:$CZ$42=$AO38)*($DC$3:$DC$42=$AO40)*($DD$3:$DD$42="D"))+SUMPRODUCT(($CZ$3:$CZ$42=$AO39)*($DC$3:$DC$42=$AO40)*($DD$3:$DD$42="D")),"")</f>
        <v/>
      </c>
      <c r="AR40" s="169" t="str">
        <f>IF($AO40&lt;&gt;"",SUMPRODUCT(($CZ$3:$CZ$42=$AO40)*($DC$3:$DC$42=$AO41)*($DD$3:$DD$42="L"))+SUMPRODUCT(($CZ$3:$CZ$42=$AO40)*($DC$3:$DC$42=$AO38)*($DD$3:$DD$42="L"))+SUMPRODUCT(($CZ$3:$CZ$42=$AO40)*($DC$3:$DC$42=$AO39)*($DD$3:$DD$42="L"))+SUMPRODUCT(($CZ$3:$CZ$42=$AO41)*($DC$3:$DC$42=$AO40)*($DE$3:$DE$42="L"))+SUMPRODUCT(($CZ$3:$CZ$42=$AO38)*($DC$3:$DC$42=$AO40)*($DE$3:$DE$42="L"))+SUMPRODUCT(($CZ$3:$CZ$42=$AO39)*($DC$3:$DC$42=$AO40)*($DE$3:$DE$42="L")),"")</f>
        <v/>
      </c>
      <c r="AS40" s="169">
        <f>SUMPRODUCT(($CZ$3:$CZ$42=$AO40)*($DC$3:$DC$42=$AO41)*$DA$3:$DA$42)+SUMPRODUCT(($CZ$3:$CZ$42=$AO40)*($DC$3:$DC$42=$AO37)*$DA$3:$DA$42)+SUMPRODUCT(($CZ$3:$CZ$42=$AO40)*($DC$3:$DC$42=$AO38)*$DA$3:$DA$42)+SUMPRODUCT(($CZ$3:$CZ$42=$AO40)*($DC$3:$DC$42=$AO39)*$DA$3:$DA$42)+SUMPRODUCT(($CZ$3:$CZ$42=$AO41)*($DC$3:$DC$42=$AO40)*$DB$3:$DB$42)+SUMPRODUCT(($CZ$3:$CZ$42=$AO37)*($DC$3:$DC$42=$AO40)*$DB$3:$DB$42)+SUMPRODUCT(($CZ$3:$CZ$42=$AO38)*($DC$3:$DC$42=$AO40)*$DB$3:$DB$42)+SUMPRODUCT(($CZ$3:$CZ$42=$AO39)*($DC$3:$DC$42=$AO40)*$DB$3:$DB$42)</f>
        <v>0</v>
      </c>
      <c r="AT40" s="169">
        <f>SUMPRODUCT(($CZ$3:$CZ$42=$AO40)*($DC$3:$DC$42=$AO41)*$DB$3:$DB$42)+SUMPRODUCT(($CZ$3:$CZ$42=$AO40)*($DC$3:$DC$42=$AO37)*$DB$3:$DB$42)+SUMPRODUCT(($CZ$3:$CZ$42=$AO40)*($DC$3:$DC$42=$AO38)*$DB$3:$DB$42)+SUMPRODUCT(($CZ$3:$CZ$42=$AO40)*($DC$3:$DC$42=$AO39)*$DB$3:$DB$42)+SUMPRODUCT(($CZ$3:$CZ$42=$AO41)*($DC$3:$DC$42=$AO40)*$DA$3:$DA$42)+SUMPRODUCT(($CZ$3:$CZ$42=$AO37)*($DC$3:$DC$42=$AO40)*$DA$3:$DA$42)+SUMPRODUCT(($CZ$3:$CZ$42=$AO38)*($DC$3:$DC$42=$AO40)*$DA$3:$DA$42)+SUMPRODUCT(($CZ$3:$CZ$42=$AO39)*($DC$3:$DC$42=$AO40)*$DA$3:$DA$42)</f>
        <v>0</v>
      </c>
      <c r="AU40" s="169">
        <f>AS40-AT40+1000</f>
        <v>1000</v>
      </c>
      <c r="AV40" s="169" t="str">
        <f>IF(AO40&lt;&gt;"",AP40*3+AQ40*1,"")</f>
        <v/>
      </c>
      <c r="AW40" s="169" t="str">
        <f>IF(AO40&lt;&gt;"",VLOOKUP(AO40,$B$4:$H$40,7,FALSE),"")</f>
        <v/>
      </c>
      <c r="AX40" s="169" t="str">
        <f>IF(AO40&lt;&gt;"",VLOOKUP(AO40,$B$4:$H$40,5,FALSE),"")</f>
        <v/>
      </c>
      <c r="AY40" s="169" t="str">
        <f>IF(AO40&lt;&gt;"",VLOOKUP(AO40,$B$4:$J$40,9,FALSE),"")</f>
        <v/>
      </c>
      <c r="AZ40" s="169" t="str">
        <f>AV40</f>
        <v/>
      </c>
      <c r="BA40" s="169" t="str">
        <f>IF(AO40&lt;&gt;"",RANK(AZ40,AZ$37:AZ$40),"")</f>
        <v/>
      </c>
      <c r="BB40" s="169" t="str">
        <f>IF(AO40&lt;&gt;"",SUMPRODUCT((AZ$37:AZ$41=AZ40)*(AU$37:AU$41&gt;AU40)),"")</f>
        <v/>
      </c>
      <c r="BC40" s="169" t="str">
        <f>IF(AO40&lt;&gt;"",SUMPRODUCT((AZ$37:AZ$41=AZ40)*(AU$37:AU$41=AU40)*(AS$37:AS$41&gt;AS40)),"")</f>
        <v/>
      </c>
      <c r="BD40" s="169" t="str">
        <f>IF(AO40&lt;&gt;"",SUMPRODUCT((AZ$37:AZ$41=AZ40)*(AU$37:AU$41=AU40)*(AS$37:AS$41=AS40)*(AW$37:AW$41&gt;AW40)),"")</f>
        <v/>
      </c>
      <c r="BE40" s="169" t="str">
        <f>IF(AO40&lt;&gt;"",SUMPRODUCT((AZ$37:AZ$41=AZ40)*(AU$37:AU$41=AU40)*(AS$37:AS$41=AS40)*(AW$37:AW$41=AW40)*(AX$37:AX$41&gt;AX40)),"")</f>
        <v/>
      </c>
      <c r="BF40" s="169" t="str">
        <f>IF(AO40&lt;&gt;"",SUMPRODUCT((AZ$37:AZ$41=AZ40)*(AU$37:AU$41=AU40)*(AS$37:AS$41=AS40)*(AW$37:AW$41=AW40)*(AX$37:AX$41=AX40)*(AY$37:AY$41&gt;AY40)),"")</f>
        <v/>
      </c>
      <c r="BG40" s="169" t="str">
        <f>IF(AO40&lt;&gt;"",SUM(BA40:BF40)+1,"")</f>
        <v/>
      </c>
      <c r="BH40" s="169" t="str">
        <f>IF(AO40&lt;&gt;"",INDEX(AO38:AO41,MATCH(4,BG38:BG41,0),0),"")</f>
        <v/>
      </c>
      <c r="BI40" s="169" t="str">
        <f>IF(R38&lt;&gt;"",R38,"")</f>
        <v/>
      </c>
      <c r="BJ40" s="169">
        <f>SUMPRODUCT(($CZ$3:$CZ$42=$BI40)*($DC$3:$DC$42=$BI41)*($DD$3:$DD$42="W"))+SUMPRODUCT(($CZ$3:$CZ$42=$BI40)*($DC$3:$DC$42=$BI42)*($DD$3:$DD$42="W"))+SUMPRODUCT(($CZ$3:$CZ$42=$BI40)*($DC$3:$DC$42=$BI39)*($DD$3:$DD$42="W"))+SUMPRODUCT(($CZ$3:$CZ$42=$BI41)*($DC$3:$DC$42=$BI40)*($DE$3:$DE$42="W"))+SUMPRODUCT(($CZ$3:$CZ$42=$BI42)*($DC$3:$DC$42=$BI40)*($DE$3:$DE$42="W"))+SUMPRODUCT(($CZ$3:$CZ$42=$BI39)*($DC$3:$DC$42=$BI40)*($DE$3:$DE$42="W"))</f>
        <v>0</v>
      </c>
      <c r="BK40" s="169">
        <f>SUMPRODUCT(($CZ$3:$CZ$42=$BI40)*($DC$3:$DC$42=$BI41)*($DD$3:$DD$42="D"))+SUMPRODUCT(($CZ$3:$CZ$42=$BI40)*($DC$3:$DC$42=$BI42)*($DD$3:$DD$42="D"))+SUMPRODUCT(($CZ$3:$CZ$42=$BI40)*($DC$3:$DC$42=$BI39)*($DD$3:$DD$42="D"))+SUMPRODUCT(($CZ$3:$CZ$42=$BI41)*($DC$3:$DC$42=$BI40)*($DD$3:$DD$42="D"))+SUMPRODUCT(($CZ$3:$CZ$42=$BI42)*($DC$3:$DC$42=$BI40)*($DD$3:$DD$42="D"))+SUMPRODUCT(($CZ$3:$CZ$42=$BI39)*($DC$3:$DC$42=$BI40)*($DD$3:$DD$42="D"))</f>
        <v>0</v>
      </c>
      <c r="BL40" s="169">
        <f>SUMPRODUCT(($CZ$3:$CZ$42=$BI40)*($DC$3:$DC$42=$BI41)*($DD$3:$DD$42="L"))+SUMPRODUCT(($CZ$3:$CZ$42=$BI40)*($DC$3:$DC$42=$BI42)*($DD$3:$DD$42="L"))+SUMPRODUCT(($CZ$3:$CZ$42=$BI40)*($DC$3:$DC$42=$BI39)*($DD$3:$DD$42="L"))+SUMPRODUCT(($CZ$3:$CZ$42=$BI41)*($DC$3:$DC$42=$BI40)*($DE$3:$DE$42="L"))+SUMPRODUCT(($CZ$3:$CZ$42=$BI42)*($DC$3:$DC$42=$BI40)*($DE$3:$DE$42="L"))+SUMPRODUCT(($CZ$3:$CZ$42=$BI39)*($DC$3:$DC$42=$BI40)*($DE$3:$DE$42="L"))</f>
        <v>0</v>
      </c>
      <c r="BM40" s="169">
        <f>SUMPRODUCT(($CZ$3:$CZ$42=$BI40)*($DC$3:$DC$42=$BI41)*$DA$3:$DA$42)+SUMPRODUCT(($CZ$3:$CZ$42=$BI40)*($DC$3:$DC$42=$BI37)*$DA$3:$DA$42)+SUMPRODUCT(($CZ$3:$CZ$42=$BI40)*($DC$3:$DC$42=$BI38)*$DA$3:$DA$42)+SUMPRODUCT(($CZ$3:$CZ$42=$BI40)*($DC$3:$DC$42=$BI39)*$DA$3:$DA$42)+SUMPRODUCT(($CZ$3:$CZ$42=$BI41)*($DC$3:$DC$42=$BI40)*$DB$3:$DB$42)+SUMPRODUCT(($CZ$3:$CZ$42=$BI37)*($DC$3:$DC$42=$BI40)*$DB$3:$DB$42)+SUMPRODUCT(($CZ$3:$CZ$42=$BI38)*($DC$3:$DC$42=$BI40)*$DB$3:$DB$42)+SUMPRODUCT(($CZ$3:$CZ$42=$BI39)*($DC$3:$DC$42=$BI40)*$DB$3:$DB$42)</f>
        <v>0</v>
      </c>
      <c r="BN40" s="169">
        <f>SUMPRODUCT(($CZ$3:$CZ$42=$BI40)*($DC$3:$DC$42=$BI41)*$DB$3:$DB$42)+SUMPRODUCT(($CZ$3:$CZ$42=$BI40)*($DC$3:$DC$42=$BI37)*$DB$3:$DB$42)+SUMPRODUCT(($CZ$3:$CZ$42=$BI40)*($DC$3:$DC$42=$BI38)*$DB$3:$DB$42)+SUMPRODUCT(($CZ$3:$CZ$42=$BI40)*($DC$3:$DC$42=$BI39)*$DB$3:$DB$42)+SUMPRODUCT(($CZ$3:$CZ$42=$BI41)*($DC$3:$DC$42=$BI40)*$DA$3:$DA$42)+SUMPRODUCT(($CZ$3:$CZ$42=$BI37)*($DC$3:$DC$42=$BI40)*$DA$3:$DA$42)+SUMPRODUCT(($CZ$3:$CZ$42=$BI38)*($DC$3:$DC$42=$BI40)*$DA$3:$DA$42)+SUMPRODUCT(($CZ$3:$CZ$42=$BI39)*($DC$3:$DC$42=$BI40)*$DA$3:$DA$42)</f>
        <v>0</v>
      </c>
      <c r="BO40" s="169">
        <f>BM40-BN40+1000</f>
        <v>1000</v>
      </c>
      <c r="BP40" s="169" t="str">
        <f>IF(BI40&lt;&gt;"",BJ40*3+BK40*1,"")</f>
        <v/>
      </c>
      <c r="BQ40" s="169" t="str">
        <f>IF(BI40&lt;&gt;"",VLOOKUP(BI40,$B$4:$H$40,7,FALSE),"")</f>
        <v/>
      </c>
      <c r="BR40" s="169" t="str">
        <f>IF(BI40&lt;&gt;"",VLOOKUP(BI40,$B$4:$H$40,5,FALSE),"")</f>
        <v/>
      </c>
      <c r="BS40" s="169" t="str">
        <f>IF(BI40&lt;&gt;"",VLOOKUP(BI40,$B$4:$J$40,9,FALSE),"")</f>
        <v/>
      </c>
      <c r="BT40" s="169" t="str">
        <f>BP40</f>
        <v/>
      </c>
      <c r="BU40" s="169" t="str">
        <f>IF(BI40&lt;&gt;"",RANK(BT40,$BT$38:$BT$40),"")</f>
        <v/>
      </c>
      <c r="BV40" s="169" t="str">
        <f>IF(BI40&lt;&gt;"",SUMPRODUCT((BT$37:BT$41=BT40)*(BO$37:BO$41&gt;BO40)),"")</f>
        <v/>
      </c>
      <c r="BW40" s="169" t="str">
        <f>IF(BI40&lt;&gt;"",SUMPRODUCT((BT$37:BT$41=BT40)*(BO$37:BO$41=BO40)*(BM$37:BM$41&gt;BM40)),"")</f>
        <v/>
      </c>
      <c r="BX40" s="169" t="str">
        <f>IF(BI40&lt;&gt;"",SUMPRODUCT((BT$37:BT$41=BT40)*(BO$37:BO$41=BO40)*(BM$37:BM$41=BM40)*(BQ$37:BQ$41&gt;BQ40)),"")</f>
        <v/>
      </c>
      <c r="BY40" s="169" t="str">
        <f>IF(BI40&lt;&gt;"",SUMPRODUCT((BT$37:BT$41=BT40)*(BO$37:BO$41=BO40)*(BM$37:BM$41=BM40)*(BQ$37:BQ$41=BQ40)*(BR$37:BR$41&gt;BR40)),"")</f>
        <v/>
      </c>
      <c r="BZ40" s="169" t="str">
        <f>IF(BI40&lt;&gt;"",SUMPRODUCT((BT$37:BT$41=BT40)*(BO$37:BO$41=BO40)*(BM$37:BM$41=BM40)*(BQ$37:BQ$41=BQ40)*(BR$37:BR$41=BR40)*(BS$37:BS$41&gt;BS40)),"")</f>
        <v/>
      </c>
      <c r="CA40" s="169" t="str">
        <f>IF(BI40&lt;&gt;"",SUM(BU40:BZ40)+2,"")</f>
        <v/>
      </c>
      <c r="CB40" s="169" t="str">
        <f>IF(BI40&lt;&gt;"",INDEX(BI39:BI41,MATCH(4,CA39:CA41,0),0),"")</f>
        <v/>
      </c>
      <c r="CC40" s="169" t="str">
        <f>IF(S37&lt;&gt;"",S37,"")</f>
        <v/>
      </c>
      <c r="CD40" s="169">
        <f>SUMPRODUCT(($CZ$3:$CZ$42=$CC40)*($DC$3:$DC$42=$CC41)*($DD$3:$DD$42="W"))+SUMPRODUCT(($CZ$3:$CZ$42=$CC40)*($DC$3:$DC$42=$CC42)*($DD$3:$DD$42="W"))+SUMPRODUCT(($CZ$3:$CZ$42=$CC40)*($DC$3:$DC$42=$CC43)*($DD$3:$DD$42="W"))+SUMPRODUCT(($CZ$3:$CZ$42=$CC41)*($DC$3:$DC$42=$CC40)*($DE$3:$DE$42="W"))+SUMPRODUCT(($CZ$3:$CZ$42=$CC42)*($DC$3:$DC$42=$CC40)*($DE$3:$DE$42="W"))+SUMPRODUCT(($CZ$3:$CZ$42=$CC43)*($DC$3:$DC$42=$CC40)*($DE$3:$DE$42="W"))</f>
        <v>0</v>
      </c>
      <c r="CE40" s="169">
        <f>SUMPRODUCT(($CZ$3:$CZ$42=$CC40)*($DC$3:$DC$42=$CC41)*($DD$3:$DD$42="D"))+SUMPRODUCT(($CZ$3:$CZ$42=$CC40)*($DC$3:$DC$42=$CC42)*($DD$3:$DD$42="D"))+SUMPRODUCT(($CZ$3:$CZ$42=$CC40)*($DC$3:$DC$42=$CC43)*($DD$3:$DD$42="D"))+SUMPRODUCT(($CZ$3:$CZ$42=$CC41)*($DC$3:$DC$42=$CC40)*($DD$3:$DD$42="D"))+SUMPRODUCT(($CZ$3:$CZ$42=$CC42)*($DC$3:$DC$42=$CC40)*($DD$3:$DD$42="D"))+SUMPRODUCT(($CZ$3:$CZ$42=$CC43)*($DC$3:$DC$42=$CC40)*($DD$3:$DD$42="D"))</f>
        <v>0</v>
      </c>
      <c r="CF40" s="169">
        <f>SUMPRODUCT(($CZ$3:$CZ$42=$CC40)*($DC$3:$DC$42=$CC41)*($DD$3:$DD$42="L"))+SUMPRODUCT(($CZ$3:$CZ$42=$CC40)*($DC$3:$DC$42=$CC42)*($DD$3:$DD$42="L"))+SUMPRODUCT(($CZ$3:$CZ$42=$CC40)*($DC$3:$DC$42=$CC43)*($DD$3:$DD$42="L"))+SUMPRODUCT(($CZ$3:$CZ$42=$CC41)*($DC$3:$DC$42=$CC40)*($DE$3:$DE$42="L"))+SUMPRODUCT(($CZ$3:$CZ$42=$CC42)*($DC$3:$DC$42=$CC40)*($DE$3:$DE$42="L"))+SUMPRODUCT(($CZ$3:$CZ$42=$CC43)*($DC$3:$DC$42=$CC40)*($DE$3:$DE$42="L"))</f>
        <v>0</v>
      </c>
      <c r="CG40" s="169">
        <f>SUMPRODUCT(($CZ$3:$CZ$42=$CC40)*($DC$3:$DC$42=$CC41)*$DA$3:$DA$42)+SUMPRODUCT(($CZ$3:$CZ$42=$CC40)*($DC$3:$DC$42=$CC37)*$DA$3:$DA$42)+SUMPRODUCT(($CZ$3:$CZ$42=$CC40)*($DC$3:$DC$42=$CC38)*$DA$3:$DA$42)+SUMPRODUCT(($CZ$3:$CZ$42=$CC40)*($DC$3:$DC$42=$CC39)*$DA$3:$DA$42)+SUMPRODUCT(($CZ$3:$CZ$42=$CC41)*($DC$3:$DC$42=$CC40)*$DB$3:$DB$42)+SUMPRODUCT(($CZ$3:$CZ$42=$CC37)*($DC$3:$DC$42=$CC40)*$DB$3:$DB$42)+SUMPRODUCT(($CZ$3:$CZ$42=$CC38)*($DC$3:$DC$42=$CC40)*$DB$3:$DB$42)+SUMPRODUCT(($CZ$3:$CZ$42=$CC39)*($DC$3:$DC$42=$CC40)*$DB$3:$DB$42)</f>
        <v>0</v>
      </c>
      <c r="CH40" s="169">
        <f>SUMPRODUCT(($CZ$3:$CZ$42=$CC40)*($DC$3:$DC$42=$CC41)*$DB$3:$DB$42)+SUMPRODUCT(($CZ$3:$CZ$42=$CC40)*($DC$3:$DC$42=$CC37)*$DB$3:$DB$42)+SUMPRODUCT(($CZ$3:$CZ$42=$CC40)*($DC$3:$DC$42=$CC38)*$DB$3:$DB$42)+SUMPRODUCT(($CZ$3:$CZ$42=$CC40)*($DC$3:$DC$42=$CC39)*$DB$3:$DB$42)+SUMPRODUCT(($CZ$3:$CZ$42=$CC41)*($DC$3:$DC$42=$CC40)*$DA$3:$DA$42)+SUMPRODUCT(($CZ$3:$CZ$42=$CC37)*($DC$3:$DC$42=$CC40)*$DA$3:$DA$42)+SUMPRODUCT(($CZ$3:$CZ$42=$CC38)*($DC$3:$DC$42=$CC40)*$DA$3:$DA$42)+SUMPRODUCT(($CZ$3:$CZ$42=$CC39)*($DC$3:$DC$42=$CC40)*$DA$3:$DA$42)</f>
        <v>0</v>
      </c>
      <c r="CI40" s="169">
        <f>CG40-CH40+1000</f>
        <v>1000</v>
      </c>
      <c r="CJ40" s="169" t="str">
        <f>IF(CC40&lt;&gt;"",CD40*3+CE40*1,"")</f>
        <v/>
      </c>
      <c r="CK40" s="169" t="str">
        <f>IF(CC40&lt;&gt;"",VLOOKUP(CC40,$B$4:$H$40,7,FALSE),"")</f>
        <v/>
      </c>
      <c r="CL40" s="169" t="str">
        <f>IF(CC40&lt;&gt;"",VLOOKUP(CC40,$B$4:$H$40,5,FALSE),"")</f>
        <v/>
      </c>
      <c r="CM40" s="169" t="str">
        <f>IF(CC40&lt;&gt;"",VLOOKUP(CC40,$B$4:$J$40,9,FALSE),"")</f>
        <v/>
      </c>
      <c r="CN40" s="169" t="str">
        <f>CJ40</f>
        <v/>
      </c>
      <c r="CO40" s="169" t="str">
        <f>IF(CC40&lt;&gt;"",RANK(CN40,$AF$37:$AF$41),"")</f>
        <v/>
      </c>
      <c r="CP40" s="169" t="str">
        <f>IF(CC40&lt;&gt;"",SUMPRODUCT((CN$37:CN$41=CN40)*(CI$37:CI$41&gt;CI40)),"")</f>
        <v/>
      </c>
      <c r="CQ40" s="169" t="str">
        <f>IF(CC40&lt;&gt;"",SUMPRODUCT((CN$37:CN$41=CN40)*(CI$37:CI$41=CI40)*(CG$37:CG$41&gt;CG40)),"")</f>
        <v/>
      </c>
      <c r="CR40" s="169" t="str">
        <f>IF(CC40&lt;&gt;"",SUMPRODUCT((CN$37:CN$41=CN40)*(CI$37:CI$41=CI40)*(CG$37:CG$41=CG40)*(CK$37:CK$41&gt;CK40)),"")</f>
        <v/>
      </c>
      <c r="CS40" s="169" t="str">
        <f>IF(CC40&lt;&gt;"",SUMPRODUCT((CN$37:CN$41=CN40)*(CI$37:CI$41=CI40)*(CG$37:CG$41=CG40)*(CK$37:CK$41=CK40)*(CL$37:CL$41&gt;CL40)),"")</f>
        <v/>
      </c>
      <c r="CT40" s="169" t="str">
        <f>IF(CC40&lt;&gt;"",SUMPRODUCT((CN$37:CN$41=CN40)*(CI$37:CI$41=CI40)*(CG$37:CG$41=CG40)*(CK$37:CK$41=CK40)*(CL$37:CL$41=CL40)*(CM$37:CM$41&gt;CM40)),"")</f>
        <v/>
      </c>
      <c r="CU40" s="169" t="str">
        <f>IF(CC40&lt;&gt;"",SUM(CO40:CT40)+3,"")</f>
        <v/>
      </c>
      <c r="CV40" s="169" t="str">
        <f>IF(CC40&lt;&gt;"",IF(CU40=4,CC40,CC41),"")</f>
        <v/>
      </c>
      <c r="CW40" s="169" t="str">
        <f>IF(CV40&lt;&gt;"",CV40,IF(CB40&lt;&gt;"",CB40,IF(BH40&lt;&gt;"",BH40,IF(AN40&lt;&gt;"",AN40,N40))))</f>
        <v>Österreich</v>
      </c>
      <c r="CX40" s="169">
        <v>4</v>
      </c>
    </row>
    <row r="42" spans="1:109" x14ac:dyDescent="0.2">
      <c r="CC42" s="169" t="s">
        <v>22</v>
      </c>
    </row>
    <row r="50" spans="2:3" x14ac:dyDescent="0.2">
      <c r="B50" s="169" t="s">
        <v>3</v>
      </c>
      <c r="C50" s="169" t="s">
        <v>432</v>
      </c>
    </row>
    <row r="51" spans="2:3" x14ac:dyDescent="0.2">
      <c r="B51" s="169" t="s">
        <v>6</v>
      </c>
      <c r="C51" s="169" t="s">
        <v>433</v>
      </c>
    </row>
    <row r="52" spans="2:3" x14ac:dyDescent="0.2">
      <c r="B52" s="169" t="s">
        <v>51</v>
      </c>
      <c r="C52" s="169" t="s">
        <v>434</v>
      </c>
    </row>
    <row r="53" spans="2:3" x14ac:dyDescent="0.2">
      <c r="B53" s="169" t="s">
        <v>4</v>
      </c>
      <c r="C53" s="169" t="s">
        <v>435</v>
      </c>
    </row>
    <row r="54" spans="2:3" x14ac:dyDescent="0.2">
      <c r="B54" s="169" t="s">
        <v>47</v>
      </c>
      <c r="C54" s="169" t="s">
        <v>436</v>
      </c>
    </row>
    <row r="55" spans="2:3" x14ac:dyDescent="0.2">
      <c r="B55" s="169" t="s">
        <v>18</v>
      </c>
      <c r="C55" s="169" t="s">
        <v>437</v>
      </c>
    </row>
    <row r="56" spans="2:3" x14ac:dyDescent="0.2">
      <c r="B56" s="169" t="s">
        <v>49</v>
      </c>
      <c r="C56" s="169" t="s">
        <v>438</v>
      </c>
    </row>
    <row r="57" spans="2:3" x14ac:dyDescent="0.2">
      <c r="B57" s="169" t="s">
        <v>50</v>
      </c>
      <c r="C57" s="169" t="s">
        <v>439</v>
      </c>
    </row>
    <row r="58" spans="2:3" x14ac:dyDescent="0.2">
      <c r="B58" s="169" t="s">
        <v>17</v>
      </c>
      <c r="C58" s="169" t="s">
        <v>440</v>
      </c>
    </row>
    <row r="59" spans="2:3" x14ac:dyDescent="0.2">
      <c r="B59" s="169" t="s">
        <v>7</v>
      </c>
      <c r="C59" s="169" t="s">
        <v>441</v>
      </c>
    </row>
    <row r="60" spans="2:3" x14ac:dyDescent="0.2">
      <c r="B60" s="169" t="s">
        <v>58</v>
      </c>
    </row>
    <row r="61" spans="2:3" x14ac:dyDescent="0.2">
      <c r="B61" s="169" t="s">
        <v>55</v>
      </c>
    </row>
    <row r="62" spans="2:3" x14ac:dyDescent="0.2">
      <c r="B62" s="169" t="s">
        <v>57</v>
      </c>
    </row>
    <row r="63" spans="2:3" x14ac:dyDescent="0.2">
      <c r="B63" s="169" t="s">
        <v>53</v>
      </c>
    </row>
    <row r="64" spans="2:3" x14ac:dyDescent="0.2">
      <c r="B64" s="169" t="s">
        <v>56</v>
      </c>
    </row>
    <row r="65" spans="2:2" x14ac:dyDescent="0.2">
      <c r="B65" s="169" t="s">
        <v>52</v>
      </c>
    </row>
    <row r="66" spans="2:2" x14ac:dyDescent="0.2">
      <c r="B66" s="169" t="s">
        <v>48</v>
      </c>
    </row>
    <row r="67" spans="2:2" x14ac:dyDescent="0.2">
      <c r="B67" s="169" t="s">
        <v>2</v>
      </c>
    </row>
    <row r="68" spans="2:2" x14ac:dyDescent="0.2">
      <c r="B68" s="169" t="s">
        <v>5</v>
      </c>
    </row>
    <row r="69" spans="2:2" x14ac:dyDescent="0.2">
      <c r="B69" s="169" t="s">
        <v>54</v>
      </c>
    </row>
  </sheetData>
  <sheetProtection password="CE6F" sheet="1" objects="1" scenarios="1" selectLockedCells="1" selectUnlockedCells="1"/>
  <sortState ref="C32:C70">
    <sortCondition ref="C70"/>
  </sortState>
  <mergeCells count="1">
    <mergeCell ref="DH12:DK12"/>
  </mergeCells>
  <phoneticPr fontId="1" type="noConversion"/>
  <conditionalFormatting sqref="BG9">
    <cfRule type="expression" dxfId="3" priority="4">
      <formula>$BG$9&lt;&gt;""</formula>
    </cfRule>
  </conditionalFormatting>
  <conditionalFormatting sqref="V17">
    <cfRule type="expression" dxfId="2" priority="3">
      <formula>$V$17&lt;&gt;""</formula>
    </cfRule>
  </conditionalFormatting>
  <conditionalFormatting sqref="DH28">
    <cfRule type="expression" dxfId="1" priority="2">
      <formula>$DH$28&lt;&gt;""</formula>
    </cfRule>
  </conditionalFormatting>
  <conditionalFormatting sqref="CC42">
    <cfRule type="expression" dxfId="0" priority="1">
      <formula>$DH$28&lt;&gt;""</formula>
    </cfRule>
  </conditionalFormatting>
  <pageMargins left="0.75" right="0.75" top="1" bottom="1" header="0.5" footer="0.5"/>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16</vt:i4>
      </vt:variant>
    </vt:vector>
  </HeadingPairs>
  <TitlesOfParts>
    <vt:vector size="23" baseType="lpstr">
      <vt:lpstr>Language</vt:lpstr>
      <vt:lpstr>Countries and Timezone</vt:lpstr>
      <vt:lpstr>Custom Language and Timezone</vt:lpstr>
      <vt:lpstr>Tournament</vt:lpstr>
      <vt:lpstr>About</vt:lpstr>
      <vt:lpstr>EULA</vt:lpstr>
      <vt:lpstr>Dummy Table</vt:lpstr>
      <vt:lpstr>Cities</vt:lpstr>
      <vt:lpstr>Countries</vt:lpstr>
      <vt:lpstr>Country</vt:lpstr>
      <vt:lpstr>Tournament!Druckbereich</vt:lpstr>
      <vt:lpstr>GroupA</vt:lpstr>
      <vt:lpstr>GroupB</vt:lpstr>
      <vt:lpstr>GroupC</vt:lpstr>
      <vt:lpstr>GroupD</vt:lpstr>
      <vt:lpstr>GroupE</vt:lpstr>
      <vt:lpstr>GroupF</vt:lpstr>
      <vt:lpstr>GroupG</vt:lpstr>
      <vt:lpstr>GroupH</vt:lpstr>
      <vt:lpstr>Location</vt:lpstr>
      <vt:lpstr>PoolTeam</vt:lpstr>
      <vt:lpstr>Team</vt:lpstr>
      <vt:lpstr>Venues</vt:lpstr>
    </vt:vector>
  </TitlesOfParts>
  <Company>Exceltemplate.net</Company>
  <LinksUpToDate>false</LinksUpToDate>
  <SharedDoc>false</SharedDoc>
  <HyperlinkBase>http://exceltemplate.net/</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Rugby World Cup 2015 Schedule and Scoresheet</dc:title>
  <dc:creator>R. Musadya</dc:creator>
  <cp:keywords>euro 2016</cp:keywords>
  <cp:lastModifiedBy>Bernhard Schmid</cp:lastModifiedBy>
  <cp:lastPrinted>2016-06-27T13:44:34Z</cp:lastPrinted>
  <dcterms:created xsi:type="dcterms:W3CDTF">2008-04-13T01:23:18Z</dcterms:created>
  <dcterms:modified xsi:type="dcterms:W3CDTF">2016-07-10T22:15:16Z</dcterms:modified>
  <cp:category>Sport Spreadsheet</cp:category>
</cp:coreProperties>
</file>